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lessiosbarra/Desktop/Lavoro/AssoEGE/Materiale da inviare/"/>
    </mc:Choice>
  </mc:AlternateContent>
  <xr:revisionPtr revIDLastSave="0" documentId="13_ncr:1_{D50D0B6C-40BC-F444-9762-057DE1600A32}" xr6:coauthVersionLast="36" xr6:coauthVersionMax="45" xr10:uidLastSave="{00000000-0000-0000-0000-000000000000}"/>
  <bookViews>
    <workbookView xWindow="860" yWindow="500" windowWidth="27940" windowHeight="17500" xr2:uid="{00000000-000D-0000-FFFF-FFFF00000000}"/>
  </bookViews>
  <sheets>
    <sheet name="Tabelle Risorse-Impieghi" sheetId="1" r:id="rId1"/>
    <sheet name="Dati" sheetId="2" r:id="rId2"/>
    <sheet name="Bilancio H2O" sheetId="3" r:id="rId3"/>
  </sheets>
  <calcPr calcId="179021"/>
</workbook>
</file>

<file path=xl/calcChain.xml><?xml version="1.0" encoding="utf-8"?>
<calcChain xmlns="http://schemas.openxmlformats.org/spreadsheetml/2006/main">
  <c r="J56" i="1" l="1"/>
  <c r="F43" i="1"/>
  <c r="K47" i="1"/>
  <c r="F42" i="1"/>
  <c r="K43" i="1"/>
  <c r="K42" i="1"/>
  <c r="F16" i="1"/>
  <c r="J12" i="1"/>
  <c r="F32" i="1" l="1"/>
  <c r="G19" i="1"/>
  <c r="G25" i="1" l="1"/>
  <c r="H55" i="1"/>
  <c r="C71" i="2"/>
  <c r="C54" i="2" l="1"/>
  <c r="C66" i="2"/>
  <c r="C70" i="2" s="1"/>
  <c r="C60" i="2" l="1"/>
  <c r="C68" i="2" s="1"/>
  <c r="K49" i="1"/>
  <c r="K44" i="1"/>
  <c r="K38" i="1"/>
  <c r="K35" i="1"/>
  <c r="K34" i="1"/>
  <c r="K33" i="1"/>
  <c r="K28" i="1"/>
  <c r="K21" i="1"/>
  <c r="K17" i="1"/>
  <c r="K14" i="1"/>
  <c r="J55" i="1"/>
  <c r="J53" i="1"/>
  <c r="K53" i="1" s="1"/>
  <c r="J52" i="1"/>
  <c r="J51" i="1"/>
  <c r="J50" i="1"/>
  <c r="J46" i="1"/>
  <c r="K46" i="1" s="1"/>
  <c r="J41" i="1"/>
  <c r="K41" i="1" s="1"/>
  <c r="J39" i="1"/>
  <c r="K39" i="1" s="1"/>
  <c r="J37" i="1"/>
  <c r="K37" i="1" s="1"/>
  <c r="J35" i="1"/>
  <c r="J34" i="1"/>
  <c r="J32" i="1"/>
  <c r="J30" i="1"/>
  <c r="J29" i="1"/>
  <c r="K29" i="1" s="1"/>
  <c r="J25" i="1"/>
  <c r="J23" i="1"/>
  <c r="K23" i="1" s="1"/>
  <c r="J22" i="1"/>
  <c r="K22" i="1" s="1"/>
  <c r="J21" i="1"/>
  <c r="J20" i="1"/>
  <c r="K20" i="1" s="1"/>
  <c r="J19" i="1"/>
  <c r="J18" i="1"/>
  <c r="J16" i="1"/>
  <c r="J14" i="1"/>
  <c r="J13" i="1"/>
  <c r="K13" i="1" s="1"/>
  <c r="I15" i="1"/>
  <c r="I24" i="1"/>
  <c r="I27" i="1"/>
  <c r="I31" i="1"/>
  <c r="I36" i="1"/>
  <c r="I40" i="1"/>
  <c r="I47" i="1"/>
  <c r="I54" i="1"/>
  <c r="I57" i="1"/>
  <c r="I79" i="1"/>
  <c r="H80" i="1"/>
  <c r="G80" i="1"/>
  <c r="D80" i="1"/>
  <c r="E80" i="1"/>
  <c r="F80" i="1"/>
  <c r="C65" i="2" l="1"/>
  <c r="C63" i="2"/>
  <c r="C67" i="2"/>
  <c r="I26" i="1"/>
  <c r="I42" i="1" s="1"/>
  <c r="I56" i="1" s="1"/>
  <c r="J88" i="1"/>
  <c r="J81" i="1"/>
  <c r="J70" i="1"/>
  <c r="J69" i="1"/>
  <c r="I73" i="1"/>
  <c r="C20" i="3"/>
  <c r="H21" i="3" s="1"/>
  <c r="C11" i="3"/>
  <c r="H5" i="3" s="1"/>
  <c r="I5" i="3" s="1"/>
  <c r="C13" i="3" l="1"/>
  <c r="C15" i="3" s="1"/>
  <c r="H18" i="3" s="1"/>
  <c r="I18" i="3" s="1"/>
  <c r="C53" i="2"/>
  <c r="C45" i="2"/>
  <c r="C35" i="2"/>
  <c r="C29" i="2"/>
  <c r="C24" i="2"/>
  <c r="C19" i="2"/>
  <c r="C10" i="2"/>
  <c r="C5" i="2"/>
  <c r="C55" i="2" l="1"/>
  <c r="C15" i="2"/>
  <c r="C13" i="2"/>
  <c r="C69" i="2" s="1"/>
  <c r="C12" i="2"/>
  <c r="C57" i="2"/>
  <c r="C20" i="2"/>
  <c r="I84" i="1" l="1"/>
  <c r="J84" i="1" s="1"/>
  <c r="H87" i="1"/>
  <c r="G87" i="1"/>
  <c r="F87" i="1"/>
  <c r="E87" i="1"/>
  <c r="D87" i="1"/>
  <c r="G15" i="1" l="1"/>
  <c r="G24" i="1"/>
  <c r="G27" i="1"/>
  <c r="G43" i="1" s="1"/>
  <c r="G48" i="1" s="1"/>
  <c r="G31" i="1"/>
  <c r="G36" i="1"/>
  <c r="G40" i="1"/>
  <c r="G54" i="1"/>
  <c r="G72" i="1"/>
  <c r="H47" i="1"/>
  <c r="F47" i="1"/>
  <c r="E47" i="1"/>
  <c r="D47" i="1"/>
  <c r="G26" i="1" l="1"/>
  <c r="G42" i="1" s="1"/>
  <c r="G45" i="1" s="1"/>
  <c r="F101" i="1"/>
  <c r="I85" i="1"/>
  <c r="J85" i="1" s="1"/>
  <c r="H90" i="1"/>
  <c r="H72" i="1"/>
  <c r="F72" i="1"/>
  <c r="E72" i="1"/>
  <c r="D72" i="1"/>
  <c r="H57" i="1"/>
  <c r="E54" i="1"/>
  <c r="D54" i="1"/>
  <c r="H40" i="1"/>
  <c r="F40" i="1"/>
  <c r="E40" i="1"/>
  <c r="D40" i="1"/>
  <c r="J40" i="1" s="1"/>
  <c r="K40" i="1" s="1"/>
  <c r="H36" i="1"/>
  <c r="F36" i="1"/>
  <c r="E36" i="1"/>
  <c r="D36" i="1"/>
  <c r="H31" i="1"/>
  <c r="F31" i="1"/>
  <c r="E31" i="1"/>
  <c r="D31" i="1"/>
  <c r="H27" i="1"/>
  <c r="D27" i="1"/>
  <c r="H24" i="1"/>
  <c r="F24" i="1"/>
  <c r="E24" i="1"/>
  <c r="D24" i="1"/>
  <c r="H15" i="1"/>
  <c r="F15" i="1"/>
  <c r="E15" i="1"/>
  <c r="D15" i="1"/>
  <c r="J45" i="1" l="1"/>
  <c r="G57" i="1"/>
  <c r="G47" i="1"/>
  <c r="G56" i="1" s="1"/>
  <c r="E27" i="1"/>
  <c r="E43" i="1" s="1"/>
  <c r="E48" i="1" s="1"/>
  <c r="J48" i="1" s="1"/>
  <c r="I77" i="1"/>
  <c r="I74" i="1"/>
  <c r="I78" i="1"/>
  <c r="I82" i="1"/>
  <c r="J82" i="1" s="1"/>
  <c r="H42" i="1"/>
  <c r="I75" i="1"/>
  <c r="I83" i="1"/>
  <c r="J83" i="1" s="1"/>
  <c r="I86" i="1"/>
  <c r="J86" i="1" s="1"/>
  <c r="J31" i="1"/>
  <c r="I71" i="1"/>
  <c r="J71" i="1" s="1"/>
  <c r="I76" i="1"/>
  <c r="D26" i="1"/>
  <c r="D42" i="1" s="1"/>
  <c r="D56" i="1" s="1"/>
  <c r="D89" i="1" s="1"/>
  <c r="E26" i="1"/>
  <c r="E42" i="1" s="1"/>
  <c r="E56" i="1" s="1"/>
  <c r="H89" i="1"/>
  <c r="F26" i="1"/>
  <c r="F54" i="1"/>
  <c r="F27" i="1"/>
  <c r="H54" i="1"/>
  <c r="E57" i="1" l="1"/>
  <c r="J42" i="1"/>
  <c r="J43" i="1"/>
  <c r="I80" i="1"/>
  <c r="J47" i="1"/>
  <c r="I87" i="1"/>
  <c r="J87" i="1" s="1"/>
  <c r="H56" i="1"/>
  <c r="G89" i="1" s="1"/>
  <c r="G90" i="1" s="1"/>
  <c r="J24" i="1"/>
  <c r="I72" i="1"/>
  <c r="J72" i="1" s="1"/>
  <c r="J54" i="1"/>
  <c r="J36" i="1"/>
  <c r="K36" i="1" s="1"/>
  <c r="F56" i="1"/>
  <c r="E89" i="1" s="1"/>
  <c r="E90" i="1" s="1"/>
  <c r="J15" i="1"/>
  <c r="D90" i="1"/>
  <c r="J27" i="1"/>
  <c r="F57" i="1" l="1"/>
  <c r="J57" i="1" s="1"/>
  <c r="J26" i="1"/>
  <c r="F89" i="1"/>
  <c r="F90" i="1" s="1"/>
  <c r="I90" i="1" s="1"/>
  <c r="K24" i="1" l="1"/>
  <c r="K32" i="1"/>
  <c r="K16" i="1"/>
  <c r="K27" i="1"/>
  <c r="K31" i="1"/>
  <c r="K50" i="1"/>
  <c r="K12" i="1"/>
  <c r="K18" i="1"/>
  <c r="K26" i="1"/>
  <c r="K54" i="1"/>
  <c r="K51" i="1"/>
  <c r="K15" i="1"/>
  <c r="K52" i="1"/>
  <c r="K30" i="1"/>
  <c r="K19" i="1"/>
  <c r="K55" i="1"/>
  <c r="K25" i="1"/>
  <c r="K48" i="1"/>
  <c r="K57" i="1"/>
  <c r="K45" i="1"/>
  <c r="J79" i="1"/>
  <c r="J74" i="1"/>
  <c r="J90" i="1"/>
  <c r="J73" i="1"/>
  <c r="J80" i="1"/>
  <c r="J77" i="1"/>
  <c r="J76" i="1"/>
  <c r="J75" i="1"/>
  <c r="J78" i="1"/>
  <c r="I89" i="1"/>
  <c r="J89" i="1" s="1"/>
  <c r="K56" i="1" l="1"/>
</calcChain>
</file>

<file path=xl/sharedStrings.xml><?xml version="1.0" encoding="utf-8"?>
<sst xmlns="http://schemas.openxmlformats.org/spreadsheetml/2006/main" count="342" uniqueCount="243">
  <si>
    <t xml:space="preserve">Tabella delle Risorse </t>
  </si>
  <si>
    <t xml:space="preserve">            Tabella delle Risorse</t>
  </si>
  <si>
    <t>Gas Naturale</t>
  </si>
  <si>
    <t>Biogas</t>
  </si>
  <si>
    <t>Energia Elettrica</t>
  </si>
  <si>
    <t>Energia Termica</t>
  </si>
  <si>
    <t>Vapore</t>
  </si>
  <si>
    <t>Gasolio</t>
  </si>
  <si>
    <t>Totale</t>
  </si>
  <si>
    <r>
      <t>sm</t>
    </r>
    <r>
      <rPr>
        <vertAlign val="superscript"/>
        <sz val="10"/>
        <rFont val="Arial"/>
        <family val="2"/>
      </rPr>
      <t>3</t>
    </r>
  </si>
  <si>
    <r>
      <t>MWh</t>
    </r>
    <r>
      <rPr>
        <vertAlign val="subscript"/>
        <sz val="10"/>
        <color indexed="8"/>
        <rFont val="Arial"/>
        <family val="2"/>
      </rPr>
      <t>e</t>
    </r>
  </si>
  <si>
    <r>
      <t>MWh</t>
    </r>
    <r>
      <rPr>
        <vertAlign val="subscript"/>
        <sz val="10"/>
        <rFont val="Arial"/>
        <family val="2"/>
      </rPr>
      <t>t</t>
    </r>
  </si>
  <si>
    <t>t</t>
  </si>
  <si>
    <t>litri</t>
  </si>
  <si>
    <t>MWh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</si>
  <si>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</si>
  <si>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</si>
  <si>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</si>
  <si>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</si>
  <si>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</si>
  <si>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</si>
  <si>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</si>
  <si>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</si>
  <si>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</si>
  <si>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</si>
  <si>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A</t>
  </si>
  <si>
    <t>Approvvigionamenti  energetici lordi</t>
  </si>
  <si>
    <t>A.1</t>
  </si>
  <si>
    <t>Da utility pubbliche</t>
  </si>
  <si>
    <t>A.2</t>
  </si>
  <si>
    <t>Da attività industriali non sul sito</t>
  </si>
  <si>
    <t>A.3</t>
  </si>
  <si>
    <t>Fornitura in batch</t>
  </si>
  <si>
    <t>Totale approvvigionamenti  energetici lordi</t>
  </si>
  <si>
    <t>Di cui rinnovabili</t>
  </si>
  <si>
    <t>B</t>
  </si>
  <si>
    <t>Produzione di energia nel sistema</t>
  </si>
  <si>
    <t>B.1</t>
  </si>
  <si>
    <t>Impianto  biogas</t>
  </si>
  <si>
    <t>B.2</t>
  </si>
  <si>
    <t>B.3</t>
  </si>
  <si>
    <t>Impianto fotovoltaico</t>
  </si>
  <si>
    <t>B.4</t>
  </si>
  <si>
    <t>B.5</t>
  </si>
  <si>
    <t>Energia termica recuperata da processi sul sito</t>
  </si>
  <si>
    <t>B.6</t>
  </si>
  <si>
    <t>Energia da scarti della produzione</t>
  </si>
  <si>
    <t>Totale produzione di energia nel sistema</t>
  </si>
  <si>
    <t>ST1: Totale di energia disp. nel sistema</t>
  </si>
  <si>
    <t>ST1= A+B                                       Di cui rinnovabili</t>
  </si>
  <si>
    <t>C</t>
  </si>
  <si>
    <t>Vendite di energia</t>
  </si>
  <si>
    <t>C.1</t>
  </si>
  <si>
    <t>Vendita di biogas</t>
  </si>
  <si>
    <t>C.2</t>
  </si>
  <si>
    <t>Totale vendite di energia</t>
  </si>
  <si>
    <t>D</t>
  </si>
  <si>
    <t>Variazioni scorte</t>
  </si>
  <si>
    <t>D.1</t>
  </si>
  <si>
    <t>Scorte di gasolio**</t>
  </si>
  <si>
    <t>Scorta di combustibile solido</t>
  </si>
  <si>
    <t>Totale variazioni scorte</t>
  </si>
  <si>
    <t>E</t>
  </si>
  <si>
    <t xml:space="preserve">Uso non energetico </t>
  </si>
  <si>
    <t>E.1</t>
  </si>
  <si>
    <t>Materia prima per la produzione di Prodotto 1</t>
  </si>
  <si>
    <t>Totale uso non energetico</t>
  </si>
  <si>
    <t xml:space="preserve">ST2: Totale energia per trasformazioni ed usi finali </t>
  </si>
  <si>
    <t>ST2 = A+B-C-D-E                            Di cui rinnovabili</t>
  </si>
  <si>
    <t>F</t>
  </si>
  <si>
    <t>Energia per i processi di trasformazione</t>
  </si>
  <si>
    <t>F.1</t>
  </si>
  <si>
    <t>F.2</t>
  </si>
  <si>
    <t>Totale Energia per i processi di trasformazione</t>
  </si>
  <si>
    <t>G</t>
  </si>
  <si>
    <t>Energia dai processi di trasformazione</t>
  </si>
  <si>
    <t>G.1</t>
  </si>
  <si>
    <t>Totale Energia dai processi di trasformazione</t>
  </si>
  <si>
    <t>Energia disponibile per gli usi finali</t>
  </si>
  <si>
    <t>Tabella degli Impieghi</t>
  </si>
  <si>
    <t>IMPIEGO DI ENERGIA FINALE</t>
  </si>
  <si>
    <t xml:space="preserve">                Tabella degli Impieghi</t>
  </si>
  <si>
    <t>(11)</t>
  </si>
  <si>
    <t>(12)</t>
  </si>
  <si>
    <t>(13)</t>
  </si>
  <si>
    <t>(14)</t>
  </si>
  <si>
    <t>(15)</t>
  </si>
  <si>
    <t>(16)</t>
  </si>
  <si>
    <t>(17)</t>
  </si>
  <si>
    <t>(18)</t>
  </si>
  <si>
    <t xml:space="preserve">K </t>
  </si>
  <si>
    <t>Funzionamento degli edifici</t>
  </si>
  <si>
    <t>K.1</t>
  </si>
  <si>
    <t>Uffici</t>
  </si>
  <si>
    <t>K.2</t>
  </si>
  <si>
    <t>Officina</t>
  </si>
  <si>
    <t>Totale Funzionamento degli edifici</t>
  </si>
  <si>
    <t>L</t>
  </si>
  <si>
    <t>L.1</t>
  </si>
  <si>
    <t>L.2</t>
  </si>
  <si>
    <t>L.3</t>
  </si>
  <si>
    <t>L.4</t>
  </si>
  <si>
    <t>L.5</t>
  </si>
  <si>
    <t>Totale processo di produzione 1</t>
  </si>
  <si>
    <t>M</t>
  </si>
  <si>
    <t>Infrastruttura sito</t>
  </si>
  <si>
    <t>M.1</t>
  </si>
  <si>
    <t>Illuminazione sito</t>
  </si>
  <si>
    <t>M.2</t>
  </si>
  <si>
    <t>Trasporto interno</t>
  </si>
  <si>
    <t>M.3</t>
  </si>
  <si>
    <t>Aria compressa</t>
  </si>
  <si>
    <t>M.4</t>
  </si>
  <si>
    <t>Altro</t>
  </si>
  <si>
    <t>M.5</t>
  </si>
  <si>
    <t>Perdite di distribuzione</t>
  </si>
  <si>
    <t>Totale infrastruttura sito</t>
  </si>
  <si>
    <t>R</t>
  </si>
  <si>
    <t>Saldo a bilancio</t>
  </si>
  <si>
    <t>R.1</t>
  </si>
  <si>
    <t>Differenze statistiche</t>
  </si>
  <si>
    <t>Energia finale usata</t>
  </si>
  <si>
    <t>FATTORI DI CONVERSIONE</t>
  </si>
  <si>
    <t xml:space="preserve">Vettore Energetico: </t>
  </si>
  <si>
    <t>UM</t>
  </si>
  <si>
    <t>FC</t>
  </si>
  <si>
    <t>UMC</t>
  </si>
  <si>
    <t>Gas naturale</t>
  </si>
  <si>
    <r>
      <t>MWh</t>
    </r>
    <r>
      <rPr>
        <vertAlign val="subscript"/>
        <sz val="10"/>
        <rFont val="Arial"/>
        <family val="2"/>
      </rPr>
      <t>f</t>
    </r>
  </si>
  <si>
    <t>Energia elettrica</t>
  </si>
  <si>
    <t>Energia termica</t>
  </si>
  <si>
    <t>Combustibile solido</t>
  </si>
  <si>
    <t>UM = Unità di misura naturale per il vettore energetico.</t>
  </si>
  <si>
    <t>FC = Fattore di conversione.</t>
  </si>
  <si>
    <t>UMC = Unità di misura comune.</t>
  </si>
  <si>
    <t>G.1.2. Turbina a vapore</t>
  </si>
  <si>
    <t>Vendita di energia elettrica</t>
  </si>
  <si>
    <t>Entalpia condense di ritorno</t>
  </si>
  <si>
    <t>Utenze varie, Riscaldamento, perdite</t>
  </si>
  <si>
    <t>PM 3</t>
  </si>
  <si>
    <t>PM 2</t>
  </si>
  <si>
    <t>HiKo</t>
  </si>
  <si>
    <t>Serbatoio raccolta condense</t>
  </si>
  <si>
    <t>ANNO</t>
  </si>
  <si>
    <t>u.m.</t>
  </si>
  <si>
    <t>kg</t>
  </si>
  <si>
    <t>%</t>
  </si>
  <si>
    <t>Energia elettrica:</t>
  </si>
  <si>
    <r>
      <t>MWh</t>
    </r>
    <r>
      <rPr>
        <vertAlign val="subscript"/>
        <sz val="11"/>
        <color theme="1"/>
        <rFont val="Calibri"/>
        <family val="2"/>
        <scheme val="minor"/>
      </rPr>
      <t>e</t>
    </r>
  </si>
  <si>
    <t>Metano:</t>
  </si>
  <si>
    <r>
      <t>Nm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fornito</t>
    </r>
  </si>
  <si>
    <r>
      <t>Nm</t>
    </r>
    <r>
      <rPr>
        <vertAlign val="superscript"/>
        <sz val="11"/>
        <color theme="1"/>
        <rFont val="Calibri"/>
        <family val="2"/>
        <scheme val="minor"/>
      </rPr>
      <t>3</t>
    </r>
  </si>
  <si>
    <t>PCI</t>
  </si>
  <si>
    <r>
      <t>MWh/Nm</t>
    </r>
    <r>
      <rPr>
        <vertAlign val="superscript"/>
        <sz val="11"/>
        <color theme="1"/>
        <rFont val="Calibri"/>
        <family val="2"/>
        <scheme val="minor"/>
      </rPr>
      <t>3</t>
    </r>
  </si>
  <si>
    <t>Biogas:</t>
  </si>
  <si>
    <t>Olio combustibile:</t>
  </si>
  <si>
    <t>Energia primaria da olio combustibile fornita:</t>
  </si>
  <si>
    <t>Totale consumi energia non-elettrica</t>
  </si>
  <si>
    <t>Vapore:</t>
  </si>
  <si>
    <t>°C</t>
  </si>
  <si>
    <t>bar</t>
  </si>
  <si>
    <t>kJ/kg</t>
  </si>
  <si>
    <r>
      <t>MWh</t>
    </r>
    <r>
      <rPr>
        <vertAlign val="subscript"/>
        <sz val="11"/>
        <color theme="1"/>
        <rFont val="Calibri"/>
        <family val="2"/>
        <scheme val="minor"/>
      </rPr>
      <t>t</t>
    </r>
  </si>
  <si>
    <t>Recupero Eko 2:</t>
  </si>
  <si>
    <t>Condense di ritorno:</t>
  </si>
  <si>
    <t>Temperatura condense di ritorno:</t>
  </si>
  <si>
    <t>Recupero condense di ritorno:</t>
  </si>
  <si>
    <t>Pressione condense di ritorno :</t>
  </si>
  <si>
    <t>PM3</t>
  </si>
  <si>
    <t>PM2</t>
  </si>
  <si>
    <t>Fornitura, Produzione Interna, Vendite e Trasformazione di Energia</t>
  </si>
  <si>
    <r>
      <t>Nm</t>
    </r>
    <r>
      <rPr>
        <vertAlign val="superscript"/>
        <sz val="10"/>
        <rFont val="Arial"/>
        <family val="2"/>
      </rPr>
      <t>3</t>
    </r>
  </si>
  <si>
    <t>G.1.3. Autoconsumo cogeneratori</t>
  </si>
  <si>
    <t xml:space="preserve">Processo di produzione </t>
  </si>
  <si>
    <t>(19)</t>
  </si>
  <si>
    <t>Verifica Bilancio acqua/vapore</t>
  </si>
  <si>
    <t>ton</t>
  </si>
  <si>
    <t>Verifica:</t>
  </si>
  <si>
    <t>Vapore al processo</t>
  </si>
  <si>
    <t>(1) - (7) =</t>
  </si>
  <si>
    <t>Altri Usi e perdite</t>
  </si>
  <si>
    <t>Serbatio di alimentazione recuperocondense</t>
  </si>
  <si>
    <t>Totale:</t>
  </si>
  <si>
    <t>Ritorno condense = 81 %</t>
  </si>
  <si>
    <t>Acqua di reintergo</t>
  </si>
  <si>
    <t>Al caldaia</t>
  </si>
  <si>
    <t>iniezione</t>
  </si>
  <si>
    <t>(10) - (11)-(12) =</t>
  </si>
  <si>
    <t>Perdite caldaia</t>
  </si>
  <si>
    <t>(1) - (14) =</t>
  </si>
  <si>
    <r>
      <t>D</t>
    </r>
    <r>
      <rPr>
        <sz val="11"/>
        <color theme="1"/>
        <rFont val="Calibri"/>
        <family val="2"/>
      </rPr>
      <t>ü</t>
    </r>
    <r>
      <rPr>
        <sz val="11"/>
        <color theme="1"/>
        <rFont val="Arial"/>
        <family val="2"/>
      </rPr>
      <t>sseldorf, Germania</t>
    </r>
  </si>
  <si>
    <t>L.6</t>
  </si>
  <si>
    <t>Eko2</t>
  </si>
  <si>
    <t>Impianti di cogenerazione e caldaia</t>
  </si>
  <si>
    <t>fonte: Umwelterklärung, Januar 2020, DIN ISO 14001.</t>
  </si>
  <si>
    <t>Energia termica prodotta</t>
  </si>
  <si>
    <t>Energia termica consumata dal turbine a vapore</t>
  </si>
  <si>
    <t>Percentuale energia rinnovabile nel vapore</t>
  </si>
  <si>
    <t>Vapore 3 bar</t>
  </si>
  <si>
    <t xml:space="preserve">Rendimento globale </t>
  </si>
  <si>
    <t>Energia elettrica prodotta</t>
  </si>
  <si>
    <t>Energia elettrica dalla rete</t>
  </si>
  <si>
    <t>Energia elettrica immesso nella rete</t>
  </si>
  <si>
    <t>Produzione</t>
  </si>
  <si>
    <t>Umidità prodotto finale</t>
  </si>
  <si>
    <t>Totale auto produzione</t>
  </si>
  <si>
    <t>Auto consumo co-generatori</t>
  </si>
  <si>
    <t>Netto auto produzione energia elettrica</t>
  </si>
  <si>
    <t>Energia rinnovabile nell'energia elettrica</t>
  </si>
  <si>
    <t>Energia rinnovabile nel vapore</t>
  </si>
  <si>
    <t>Totale energia termica fornita al processo</t>
  </si>
  <si>
    <r>
      <t>Entalpia specifica condense di ritorno ( T</t>
    </r>
    <r>
      <rPr>
        <vertAlign val="subscript"/>
        <sz val="11"/>
        <color theme="1"/>
        <rFont val="Calibri"/>
        <family val="2"/>
        <scheme val="minor"/>
      </rPr>
      <t>rif</t>
    </r>
    <r>
      <rPr>
        <sz val="11"/>
        <color theme="1"/>
        <rFont val="Calibri"/>
        <family val="2"/>
        <scheme val="minor"/>
      </rPr>
      <t xml:space="preserve"> = 0 °C):</t>
    </r>
  </si>
  <si>
    <t>Entalpia condense di ritorno:</t>
  </si>
  <si>
    <t>Iniezione</t>
  </si>
  <si>
    <t>Rendimento caldaia (presunto)</t>
  </si>
  <si>
    <r>
      <t>Contabilità Energetica Cartiera Julius Schulte S</t>
    </r>
    <r>
      <rPr>
        <b/>
        <sz val="14"/>
        <color theme="1"/>
        <rFont val="Calibri"/>
        <family val="2"/>
      </rPr>
      <t>ö</t>
    </r>
    <r>
      <rPr>
        <b/>
        <sz val="14"/>
        <color theme="1"/>
        <rFont val="Arial"/>
        <family val="2"/>
      </rPr>
      <t>hne GmhB</t>
    </r>
  </si>
  <si>
    <t>Bilancio energetico  Cartiera Julius Schulte Söhne 2019</t>
  </si>
  <si>
    <t xml:space="preserve">*Attribuito in proporzione alla loro produzione </t>
  </si>
  <si>
    <t>Prelievo netto dalla rete</t>
  </si>
  <si>
    <t>EE fornita allo stabilimento</t>
  </si>
  <si>
    <t>Energia da metano fornita:</t>
  </si>
  <si>
    <t>Energia (rinnovabile) da biogas fornita</t>
  </si>
  <si>
    <r>
      <t>Entalpia vapore (T</t>
    </r>
    <r>
      <rPr>
        <vertAlign val="subscript"/>
        <sz val="11"/>
        <color theme="1"/>
        <rFont val="Calibri"/>
        <family val="2"/>
        <scheme val="minor"/>
      </rPr>
      <t>rif</t>
    </r>
    <r>
      <rPr>
        <sz val="11"/>
        <color theme="1"/>
        <rFont val="Calibri"/>
        <family val="2"/>
        <scheme val="minor"/>
      </rPr>
      <t xml:space="preserve"> = 0 °C)</t>
    </r>
  </si>
  <si>
    <t>Pressione</t>
  </si>
  <si>
    <t>Temperatura</t>
  </si>
  <si>
    <t>Vapore fornito al processo</t>
  </si>
  <si>
    <t>G.1.1.  Turbina a gas</t>
  </si>
  <si>
    <t>EE dalla turbina a gas</t>
  </si>
  <si>
    <t>EE dalla turbina a vapore</t>
  </si>
  <si>
    <t>Auto consumo turbina a gas*</t>
  </si>
  <si>
    <t>Auto consumo turbina a vapore*</t>
  </si>
  <si>
    <t>Totale energia termica ritornato dal processo</t>
  </si>
  <si>
    <t>Totale energia termica usato per il processo</t>
  </si>
  <si>
    <t>Energia del biogas fornita alla caldaia</t>
  </si>
  <si>
    <t>Rendimento termico turbina a vapore</t>
  </si>
  <si>
    <t>Rendimento elettrico turbina a vapore</t>
  </si>
  <si>
    <t>Energia rinnovabile nell'iniezione*</t>
  </si>
  <si>
    <t>Anno: 2019</t>
  </si>
  <si>
    <t>* La percentuale rinnovabile è pari al 3,0 %; leggermente più bassa che all'entrata perché il recupero attraverso l'Eko2 non contiene energia rinnovabile</t>
  </si>
  <si>
    <t>ALTRI PARAMETRI</t>
  </si>
  <si>
    <t xml:space="preserve">Parametro: </t>
  </si>
  <si>
    <t>Valore</t>
  </si>
  <si>
    <t>Frazione di energia rinnovabile nell'energia elettrica prelevata dalla rete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</si>
</sst>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&quot; ***&quot;"/>
    <numFmt numFmtId="165" formatCode="#,##0.00000"/>
    <numFmt numFmtId="166" formatCode="#,##0.000"/>
    <numFmt numFmtId="167" formatCode="0.0%"/>
    <numFmt numFmtId="168" formatCode="#,##0.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rgb="FF0070C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name val="Arial"/>
      <family val="2"/>
    </font>
    <font>
      <vertAlign val="subscript"/>
      <sz val="10"/>
      <color indexed="8"/>
      <name val="Arial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16" fillId="0" borderId="0" applyFont="0" applyFill="0" applyBorder="0" applyAlignment="0" applyProtection="0"/>
  </cellStyleXfs>
  <cellXfs count="26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6" xfId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3" borderId="11" xfId="0" quotePrefix="1" applyNumberFormat="1" applyFont="1" applyFill="1" applyBorder="1" applyAlignment="1">
      <alignment horizontal="center" vertical="center"/>
    </xf>
    <xf numFmtId="0" fontId="10" fillId="3" borderId="12" xfId="0" quotePrefix="1" applyNumberFormat="1" applyFont="1" applyFill="1" applyBorder="1" applyAlignment="1">
      <alignment horizontal="center" vertical="center"/>
    </xf>
    <xf numFmtId="0" fontId="10" fillId="3" borderId="13" xfId="0" quotePrefix="1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vertical="center"/>
    </xf>
    <xf numFmtId="3" fontId="11" fillId="4" borderId="14" xfId="0" applyNumberFormat="1" applyFont="1" applyFill="1" applyBorder="1" applyAlignment="1">
      <alignment horizontal="left"/>
    </xf>
    <xf numFmtId="3" fontId="11" fillId="4" borderId="15" xfId="0" applyNumberFormat="1" applyFont="1" applyFill="1" applyBorder="1" applyAlignment="1">
      <alignment wrapText="1"/>
    </xf>
    <xf numFmtId="3" fontId="9" fillId="4" borderId="16" xfId="0" applyNumberFormat="1" applyFont="1" applyFill="1" applyBorder="1"/>
    <xf numFmtId="3" fontId="9" fillId="4" borderId="17" xfId="0" applyNumberFormat="1" applyFont="1" applyFill="1" applyBorder="1"/>
    <xf numFmtId="3" fontId="9" fillId="4" borderId="18" xfId="0" applyNumberFormat="1" applyFont="1" applyFill="1" applyBorder="1"/>
    <xf numFmtId="0" fontId="1" fillId="0" borderId="0" xfId="0" applyFont="1" applyAlignment="1">
      <alignment horizontal="center"/>
    </xf>
    <xf numFmtId="3" fontId="9" fillId="5" borderId="20" xfId="0" applyNumberFormat="1" applyFont="1" applyFill="1" applyBorder="1" applyAlignment="1">
      <alignment horizontal="right" vertical="top"/>
    </xf>
    <xf numFmtId="3" fontId="9" fillId="5" borderId="21" xfId="0" applyNumberFormat="1" applyFont="1" applyFill="1" applyBorder="1" applyAlignment="1">
      <alignment vertical="top"/>
    </xf>
    <xf numFmtId="3" fontId="9" fillId="5" borderId="22" xfId="0" applyNumberFormat="1" applyFont="1" applyFill="1" applyBorder="1"/>
    <xf numFmtId="3" fontId="9" fillId="5" borderId="23" xfId="0" applyNumberFormat="1" applyFont="1" applyFill="1" applyBorder="1"/>
    <xf numFmtId="3" fontId="9" fillId="5" borderId="24" xfId="0" applyNumberFormat="1" applyFont="1" applyFill="1" applyBorder="1"/>
    <xf numFmtId="3" fontId="9" fillId="5" borderId="21" xfId="0" applyNumberFormat="1" applyFont="1" applyFill="1" applyBorder="1" applyAlignment="1">
      <alignment horizontal="left" vertical="top" wrapText="1"/>
    </xf>
    <xf numFmtId="3" fontId="9" fillId="5" borderId="22" xfId="0" applyNumberFormat="1" applyFont="1" applyFill="1" applyBorder="1" applyAlignment="1">
      <alignment vertical="center"/>
    </xf>
    <xf numFmtId="3" fontId="9" fillId="5" borderId="23" xfId="0" applyNumberFormat="1" applyFont="1" applyFill="1" applyBorder="1" applyAlignment="1">
      <alignment vertical="center"/>
    </xf>
    <xf numFmtId="0" fontId="1" fillId="0" borderId="0" xfId="0" applyFont="1" applyBorder="1"/>
    <xf numFmtId="3" fontId="9" fillId="4" borderId="26" xfId="0" applyNumberFormat="1" applyFont="1" applyFill="1" applyBorder="1" applyAlignment="1">
      <alignment horizontal="right" vertical="center"/>
    </xf>
    <xf numFmtId="3" fontId="9" fillId="4" borderId="27" xfId="0" applyNumberFormat="1" applyFont="1" applyFill="1" applyBorder="1" applyAlignment="1">
      <alignment vertical="center"/>
    </xf>
    <xf numFmtId="3" fontId="9" fillId="4" borderId="28" xfId="0" applyNumberFormat="1" applyFont="1" applyFill="1" applyBorder="1"/>
    <xf numFmtId="3" fontId="9" fillId="4" borderId="29" xfId="0" applyNumberFormat="1" applyFont="1" applyFill="1" applyBorder="1"/>
    <xf numFmtId="3" fontId="9" fillId="4" borderId="30" xfId="0" applyNumberFormat="1" applyFont="1" applyFill="1" applyBorder="1"/>
    <xf numFmtId="3" fontId="9" fillId="3" borderId="32" xfId="0" applyNumberFormat="1" applyFont="1" applyFill="1" applyBorder="1"/>
    <xf numFmtId="3" fontId="9" fillId="3" borderId="33" xfId="0" applyNumberFormat="1" applyFont="1" applyFill="1" applyBorder="1"/>
    <xf numFmtId="3" fontId="9" fillId="3" borderId="5" xfId="0" applyNumberFormat="1" applyFont="1" applyFill="1" applyBorder="1"/>
    <xf numFmtId="3" fontId="5" fillId="3" borderId="7" xfId="0" applyNumberFormat="1" applyFont="1" applyFill="1" applyBorder="1"/>
    <xf numFmtId="3" fontId="9" fillId="3" borderId="8" xfId="0" applyNumberFormat="1" applyFont="1" applyFill="1" applyBorder="1" applyAlignment="1">
      <alignment horizontal="right"/>
    </xf>
    <xf numFmtId="3" fontId="9" fillId="3" borderId="35" xfId="0" applyNumberFormat="1" applyFont="1" applyFill="1" applyBorder="1"/>
    <xf numFmtId="3" fontId="9" fillId="3" borderId="8" xfId="0" applyNumberFormat="1" applyFont="1" applyFill="1" applyBorder="1"/>
    <xf numFmtId="3" fontId="9" fillId="3" borderId="36" xfId="0" applyNumberFormat="1" applyFont="1" applyFill="1" applyBorder="1"/>
    <xf numFmtId="3" fontId="11" fillId="5" borderId="37" xfId="0" applyNumberFormat="1" applyFont="1" applyFill="1" applyBorder="1" applyAlignment="1">
      <alignment horizontal="left"/>
    </xf>
    <xf numFmtId="3" fontId="11" fillId="5" borderId="0" xfId="0" applyNumberFormat="1" applyFont="1" applyFill="1" applyBorder="1"/>
    <xf numFmtId="3" fontId="9" fillId="5" borderId="38" xfId="0" applyNumberFormat="1" applyFont="1" applyFill="1" applyBorder="1"/>
    <xf numFmtId="3" fontId="9" fillId="5" borderId="0" xfId="0" applyNumberFormat="1" applyFont="1" applyFill="1" applyBorder="1"/>
    <xf numFmtId="3" fontId="9" fillId="5" borderId="39" xfId="0" applyNumberFormat="1" applyFont="1" applyFill="1" applyBorder="1"/>
    <xf numFmtId="3" fontId="9" fillId="4" borderId="41" xfId="0" applyNumberFormat="1" applyFont="1" applyFill="1" applyBorder="1" applyAlignment="1">
      <alignment horizontal="right"/>
    </xf>
    <xf numFmtId="3" fontId="9" fillId="4" borderId="42" xfId="0" applyNumberFormat="1" applyFont="1" applyFill="1" applyBorder="1"/>
    <xf numFmtId="3" fontId="9" fillId="4" borderId="38" xfId="0" applyNumberFormat="1" applyFont="1" applyFill="1" applyBorder="1"/>
    <xf numFmtId="3" fontId="9" fillId="4" borderId="0" xfId="0" applyNumberFormat="1" applyFont="1" applyFill="1" applyBorder="1"/>
    <xf numFmtId="3" fontId="9" fillId="4" borderId="39" xfId="0" applyNumberFormat="1" applyFont="1" applyFill="1" applyBorder="1"/>
    <xf numFmtId="3" fontId="9" fillId="4" borderId="41" xfId="0" applyNumberFormat="1" applyFont="1" applyFill="1" applyBorder="1" applyAlignment="1">
      <alignment horizontal="right" vertical="top"/>
    </xf>
    <xf numFmtId="3" fontId="9" fillId="4" borderId="42" xfId="0" applyNumberFormat="1" applyFont="1" applyFill="1" applyBorder="1" applyAlignment="1">
      <alignment vertical="top" wrapText="1"/>
    </xf>
    <xf numFmtId="3" fontId="9" fillId="4" borderId="38" xfId="0" applyNumberFormat="1" applyFont="1" applyFill="1" applyBorder="1" applyAlignment="1">
      <alignment vertical="top"/>
    </xf>
    <xf numFmtId="3" fontId="9" fillId="4" borderId="0" xfId="0" applyNumberFormat="1" applyFont="1" applyFill="1" applyBorder="1" applyAlignment="1">
      <alignment vertical="top"/>
    </xf>
    <xf numFmtId="3" fontId="9" fillId="4" borderId="39" xfId="0" applyNumberFormat="1" applyFont="1" applyFill="1" applyBorder="1" applyAlignment="1">
      <alignment vertical="top"/>
    </xf>
    <xf numFmtId="0" fontId="9" fillId="0" borderId="38" xfId="0" applyFont="1" applyBorder="1" applyAlignment="1">
      <alignment vertical="top"/>
    </xf>
    <xf numFmtId="3" fontId="5" fillId="3" borderId="37" xfId="0" applyNumberFormat="1" applyFont="1" applyFill="1" applyBorder="1"/>
    <xf numFmtId="3" fontId="9" fillId="3" borderId="0" xfId="0" applyNumberFormat="1" applyFont="1" applyFill="1" applyBorder="1" applyAlignment="1">
      <alignment horizontal="right"/>
    </xf>
    <xf numFmtId="3" fontId="9" fillId="3" borderId="38" xfId="0" applyNumberFormat="1" applyFont="1" applyFill="1" applyBorder="1"/>
    <xf numFmtId="3" fontId="9" fillId="3" borderId="0" xfId="0" applyNumberFormat="1" applyFont="1" applyFill="1" applyBorder="1"/>
    <xf numFmtId="3" fontId="9" fillId="3" borderId="39" xfId="0" applyNumberFormat="1" applyFont="1" applyFill="1" applyBorder="1"/>
    <xf numFmtId="3" fontId="9" fillId="6" borderId="32" xfId="0" applyNumberFormat="1" applyFont="1" applyFill="1" applyBorder="1"/>
    <xf numFmtId="3" fontId="9" fillId="6" borderId="33" xfId="0" applyNumberFormat="1" applyFont="1" applyFill="1" applyBorder="1"/>
    <xf numFmtId="3" fontId="9" fillId="6" borderId="5" xfId="0" applyNumberFormat="1" applyFont="1" applyFill="1" applyBorder="1"/>
    <xf numFmtId="3" fontId="9" fillId="3" borderId="7" xfId="0" applyNumberFormat="1" applyFont="1" applyFill="1" applyBorder="1"/>
    <xf numFmtId="3" fontId="11" fillId="5" borderId="41" xfId="0" applyNumberFormat="1" applyFont="1" applyFill="1" applyBorder="1" applyAlignment="1">
      <alignment horizontal="left"/>
    </xf>
    <xf numFmtId="3" fontId="11" fillId="5" borderId="42" xfId="0" applyNumberFormat="1" applyFont="1" applyFill="1" applyBorder="1"/>
    <xf numFmtId="3" fontId="9" fillId="5" borderId="41" xfId="0" applyNumberFormat="1" applyFont="1" applyFill="1" applyBorder="1" applyAlignment="1">
      <alignment horizontal="right"/>
    </xf>
    <xf numFmtId="3" fontId="9" fillId="5" borderId="42" xfId="0" applyNumberFormat="1" applyFont="1" applyFill="1" applyBorder="1"/>
    <xf numFmtId="3" fontId="12" fillId="3" borderId="4" xfId="0" applyNumberFormat="1" applyFont="1" applyFill="1" applyBorder="1"/>
    <xf numFmtId="3" fontId="11" fillId="3" borderId="33" xfId="0" applyNumberFormat="1" applyFont="1" applyFill="1" applyBorder="1" applyAlignment="1">
      <alignment horizontal="right"/>
    </xf>
    <xf numFmtId="3" fontId="9" fillId="5" borderId="37" xfId="0" applyNumberFormat="1" applyFont="1" applyFill="1" applyBorder="1" applyAlignment="1">
      <alignment horizontal="right"/>
    </xf>
    <xf numFmtId="3" fontId="11" fillId="3" borderId="34" xfId="0" applyNumberFormat="1" applyFont="1" applyFill="1" applyBorder="1" applyAlignment="1">
      <alignment horizontal="right"/>
    </xf>
    <xf numFmtId="3" fontId="9" fillId="3" borderId="37" xfId="0" applyNumberFormat="1" applyFont="1" applyFill="1" applyBorder="1"/>
    <xf numFmtId="3" fontId="9" fillId="3" borderId="40" xfId="0" applyNumberFormat="1" applyFont="1" applyFill="1" applyBorder="1" applyAlignment="1">
      <alignment horizontal="right"/>
    </xf>
    <xf numFmtId="3" fontId="9" fillId="3" borderId="13" xfId="0" applyNumberFormat="1" applyFont="1" applyFill="1" applyBorder="1" applyAlignment="1">
      <alignment horizontal="right"/>
    </xf>
    <xf numFmtId="3" fontId="11" fillId="4" borderId="37" xfId="0" applyNumberFormat="1" applyFont="1" applyFill="1" applyBorder="1" applyAlignment="1">
      <alignment horizontal="left"/>
    </xf>
    <xf numFmtId="3" fontId="11" fillId="4" borderId="0" xfId="0" applyNumberFormat="1" applyFont="1" applyFill="1" applyBorder="1"/>
    <xf numFmtId="3" fontId="9" fillId="4" borderId="32" xfId="0" applyNumberFormat="1" applyFont="1" applyFill="1" applyBorder="1"/>
    <xf numFmtId="3" fontId="9" fillId="4" borderId="33" xfId="0" applyNumberFormat="1" applyFont="1" applyFill="1" applyBorder="1"/>
    <xf numFmtId="3" fontId="9" fillId="4" borderId="5" xfId="0" applyNumberFormat="1" applyFont="1" applyFill="1" applyBorder="1"/>
    <xf numFmtId="3" fontId="9" fillId="5" borderId="11" xfId="0" applyNumberFormat="1" applyFont="1" applyFill="1" applyBorder="1" applyAlignment="1">
      <alignment horizontal="right"/>
    </xf>
    <xf numFmtId="3" fontId="9" fillId="5" borderId="43" xfId="0" applyNumberFormat="1" applyFont="1" applyFill="1" applyBorder="1"/>
    <xf numFmtId="3" fontId="9" fillId="5" borderId="44" xfId="0" applyNumberFormat="1" applyFont="1" applyFill="1" applyBorder="1"/>
    <xf numFmtId="3" fontId="9" fillId="5" borderId="45" xfId="0" applyNumberFormat="1" applyFont="1" applyFill="1" applyBorder="1"/>
    <xf numFmtId="3" fontId="9" fillId="5" borderId="46" xfId="0" applyNumberFormat="1" applyFont="1" applyFill="1" applyBorder="1"/>
    <xf numFmtId="3" fontId="9" fillId="5" borderId="26" xfId="0" applyNumberFormat="1" applyFont="1" applyFill="1" applyBorder="1" applyAlignment="1">
      <alignment horizontal="right"/>
    </xf>
    <xf numFmtId="3" fontId="9" fillId="5" borderId="27" xfId="0" applyNumberFormat="1" applyFont="1" applyFill="1" applyBorder="1"/>
    <xf numFmtId="3" fontId="9" fillId="5" borderId="28" xfId="0" applyNumberFormat="1" applyFont="1" applyFill="1" applyBorder="1"/>
    <xf numFmtId="3" fontId="9" fillId="5" borderId="29" xfId="0" applyNumberFormat="1" applyFont="1" applyFill="1" applyBorder="1"/>
    <xf numFmtId="3" fontId="9" fillId="5" borderId="30" xfId="0" applyNumberFormat="1" applyFont="1" applyFill="1" applyBorder="1"/>
    <xf numFmtId="3" fontId="9" fillId="4" borderId="26" xfId="0" applyNumberFormat="1" applyFont="1" applyFill="1" applyBorder="1" applyAlignment="1">
      <alignment horizontal="right"/>
    </xf>
    <xf numFmtId="3" fontId="9" fillId="4" borderId="27" xfId="0" applyNumberFormat="1" applyFont="1" applyFill="1" applyBorder="1"/>
    <xf numFmtId="164" fontId="9" fillId="3" borderId="35" xfId="0" applyNumberFormat="1" applyFont="1" applyFill="1" applyBorder="1"/>
    <xf numFmtId="3" fontId="11" fillId="5" borderId="11" xfId="0" applyNumberFormat="1" applyFont="1" applyFill="1" applyBorder="1" applyAlignment="1">
      <alignment horizontal="left"/>
    </xf>
    <xf numFmtId="3" fontId="11" fillId="5" borderId="43" xfId="0" applyNumberFormat="1" applyFont="1" applyFill="1" applyBorder="1"/>
    <xf numFmtId="3" fontId="9" fillId="4" borderId="20" xfId="0" applyNumberFormat="1" applyFont="1" applyFill="1" applyBorder="1" applyAlignment="1">
      <alignment horizontal="right"/>
    </xf>
    <xf numFmtId="3" fontId="9" fillId="4" borderId="21" xfId="0" applyNumberFormat="1" applyFont="1" applyFill="1" applyBorder="1"/>
    <xf numFmtId="3" fontId="12" fillId="8" borderId="32" xfId="1" applyNumberFormat="1" applyFont="1" applyFill="1" applyBorder="1"/>
    <xf numFmtId="3" fontId="12" fillId="8" borderId="33" xfId="1" applyNumberFormat="1" applyFont="1" applyFill="1" applyBorder="1"/>
    <xf numFmtId="3" fontId="12" fillId="8" borderId="5" xfId="1" applyNumberFormat="1" applyFont="1" applyFill="1" applyBorder="1"/>
    <xf numFmtId="0" fontId="12" fillId="7" borderId="7" xfId="1" applyFont="1" applyFill="1" applyBorder="1" applyAlignment="1">
      <alignment horizontal="center" wrapText="1"/>
    </xf>
    <xf numFmtId="0" fontId="14" fillId="7" borderId="8" xfId="1" applyFont="1" applyFill="1" applyBorder="1" applyAlignment="1">
      <alignment horizontal="right" vertical="top" wrapText="1"/>
    </xf>
    <xf numFmtId="3" fontId="14" fillId="8" borderId="35" xfId="1" applyNumberFormat="1" applyFont="1" applyFill="1" applyBorder="1"/>
    <xf numFmtId="3" fontId="14" fillId="8" borderId="8" xfId="1" applyNumberFormat="1" applyFont="1" applyFill="1" applyBorder="1"/>
    <xf numFmtId="3" fontId="14" fillId="8" borderId="36" xfId="1" applyNumberFormat="1" applyFont="1" applyFill="1" applyBorder="1"/>
    <xf numFmtId="0" fontId="14" fillId="9" borderId="0" xfId="1" applyFont="1" applyFill="1" applyBorder="1" applyAlignment="1">
      <alignment wrapText="1"/>
    </xf>
    <xf numFmtId="0" fontId="1" fillId="9" borderId="0" xfId="1" applyFont="1" applyFill="1" applyBorder="1" applyAlignment="1">
      <alignment horizontal="left"/>
    </xf>
    <xf numFmtId="0" fontId="14" fillId="9" borderId="0" xfId="1" applyFont="1" applyFill="1" applyBorder="1" applyAlignment="1">
      <alignment horizontal="left"/>
    </xf>
    <xf numFmtId="0" fontId="14" fillId="9" borderId="0" xfId="1" applyFont="1" applyFill="1" applyBorder="1" applyAlignment="1">
      <alignment horizontal="center" wrapText="1"/>
    </xf>
    <xf numFmtId="3" fontId="5" fillId="4" borderId="0" xfId="1" applyNumberFormat="1" applyFont="1" applyFill="1" applyBorder="1"/>
    <xf numFmtId="0" fontId="12" fillId="9" borderId="0" xfId="1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2" fillId="0" borderId="8" xfId="1" applyFont="1" applyBorder="1" applyAlignment="1">
      <alignment horizontal="left" vertical="center"/>
    </xf>
    <xf numFmtId="3" fontId="1" fillId="0" borderId="0" xfId="0" applyNumberFormat="1" applyFont="1" applyAlignment="1">
      <alignment vertical="center"/>
    </xf>
    <xf numFmtId="0" fontId="10" fillId="3" borderId="11" xfId="0" quotePrefix="1" applyNumberFormat="1" applyFont="1" applyFill="1" applyBorder="1" applyAlignment="1">
      <alignment horizontal="center"/>
    </xf>
    <xf numFmtId="0" fontId="10" fillId="3" borderId="11" xfId="0" quotePrefix="1" applyNumberFormat="1" applyFont="1" applyFill="1" applyBorder="1" applyAlignment="1" applyProtection="1">
      <alignment horizontal="center"/>
      <protection locked="0"/>
    </xf>
    <xf numFmtId="0" fontId="9" fillId="3" borderId="11" xfId="0" quotePrefix="1" applyNumberFormat="1" applyFont="1" applyFill="1" applyBorder="1" applyAlignment="1">
      <alignment horizontal="center"/>
    </xf>
    <xf numFmtId="0" fontId="9" fillId="3" borderId="48" xfId="0" quotePrefix="1" applyNumberFormat="1" applyFont="1" applyFill="1" applyBorder="1" applyAlignment="1">
      <alignment horizontal="center"/>
    </xf>
    <xf numFmtId="3" fontId="11" fillId="4" borderId="15" xfId="0" applyNumberFormat="1" applyFont="1" applyFill="1" applyBorder="1"/>
    <xf numFmtId="3" fontId="9" fillId="5" borderId="20" xfId="0" applyNumberFormat="1" applyFont="1" applyFill="1" applyBorder="1" applyAlignment="1">
      <alignment horizontal="right"/>
    </xf>
    <xf numFmtId="3" fontId="9" fillId="5" borderId="21" xfId="0" applyNumberFormat="1" applyFont="1" applyFill="1" applyBorder="1"/>
    <xf numFmtId="3" fontId="9" fillId="4" borderId="22" xfId="0" applyNumberFormat="1" applyFont="1" applyFill="1" applyBorder="1"/>
    <xf numFmtId="3" fontId="9" fillId="4" borderId="23" xfId="0" applyNumberFormat="1" applyFont="1" applyFill="1" applyBorder="1"/>
    <xf numFmtId="3" fontId="12" fillId="3" borderId="1" xfId="0" applyNumberFormat="1" applyFont="1" applyFill="1" applyBorder="1"/>
    <xf numFmtId="3" fontId="11" fillId="3" borderId="2" xfId="0" applyNumberFormat="1" applyFont="1" applyFill="1" applyBorder="1" applyAlignment="1">
      <alignment horizontal="right"/>
    </xf>
    <xf numFmtId="3" fontId="9" fillId="3" borderId="49" xfId="0" applyNumberFormat="1" applyFont="1" applyFill="1" applyBorder="1"/>
    <xf numFmtId="3" fontId="9" fillId="3" borderId="2" xfId="0" applyNumberFormat="1" applyFont="1" applyFill="1" applyBorder="1"/>
    <xf numFmtId="3" fontId="9" fillId="3" borderId="3" xfId="0" applyNumberFormat="1" applyFont="1" applyFill="1" applyBorder="1"/>
    <xf numFmtId="3" fontId="11" fillId="4" borderId="11" xfId="0" applyNumberFormat="1" applyFont="1" applyFill="1" applyBorder="1" applyAlignment="1">
      <alignment horizontal="left"/>
    </xf>
    <xf numFmtId="3" fontId="11" fillId="4" borderId="43" xfId="0" applyNumberFormat="1" applyFont="1" applyFill="1" applyBorder="1"/>
    <xf numFmtId="3" fontId="9" fillId="4" borderId="44" xfId="0" applyNumberFormat="1" applyFont="1" applyFill="1" applyBorder="1"/>
    <xf numFmtId="3" fontId="9" fillId="4" borderId="45" xfId="0" applyNumberFormat="1" applyFont="1" applyFill="1" applyBorder="1"/>
    <xf numFmtId="3" fontId="11" fillId="4" borderId="20" xfId="0" applyNumberFormat="1" applyFont="1" applyFill="1" applyBorder="1" applyAlignment="1">
      <alignment horizontal="left"/>
    </xf>
    <xf numFmtId="3" fontId="5" fillId="4" borderId="21" xfId="0" applyNumberFormat="1" applyFont="1" applyFill="1" applyBorder="1"/>
    <xf numFmtId="3" fontId="12" fillId="8" borderId="1" xfId="1" applyNumberFormat="1" applyFont="1" applyFill="1" applyBorder="1"/>
    <xf numFmtId="3" fontId="12" fillId="8" borderId="2" xfId="1" applyNumberFormat="1" applyFont="1" applyFill="1" applyBorder="1" applyAlignment="1">
      <alignment horizontal="right"/>
    </xf>
    <xf numFmtId="3" fontId="12" fillId="8" borderId="49" xfId="1" applyNumberFormat="1" applyFont="1" applyFill="1" applyBorder="1"/>
    <xf numFmtId="3" fontId="12" fillId="8" borderId="2" xfId="1" applyNumberFormat="1" applyFont="1" applyFill="1" applyBorder="1"/>
    <xf numFmtId="0" fontId="12" fillId="0" borderId="7" xfId="1" applyFont="1" applyBorder="1" applyAlignment="1">
      <alignment horizontal="left" vertical="center"/>
    </xf>
    <xf numFmtId="0" fontId="15" fillId="0" borderId="9" xfId="1" applyFont="1" applyBorder="1" applyAlignment="1">
      <alignment horizontal="center"/>
    </xf>
    <xf numFmtId="0" fontId="15" fillId="0" borderId="10" xfId="1" applyFont="1" applyBorder="1" applyAlignment="1">
      <alignment horizontal="center"/>
    </xf>
    <xf numFmtId="3" fontId="9" fillId="4" borderId="4" xfId="0" applyNumberFormat="1" applyFont="1" applyFill="1" applyBorder="1" applyAlignment="1"/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 vertical="center"/>
    </xf>
    <xf numFmtId="165" fontId="9" fillId="4" borderId="32" xfId="0" applyNumberFormat="1" applyFont="1" applyFill="1" applyBorder="1"/>
    <xf numFmtId="0" fontId="3" fillId="0" borderId="34" xfId="1" applyFont="1" applyBorder="1" applyAlignment="1">
      <alignment horizontal="center"/>
    </xf>
    <xf numFmtId="3" fontId="9" fillId="4" borderId="37" xfId="0" applyNumberFormat="1" applyFont="1" applyFill="1" applyBorder="1" applyAlignment="1"/>
    <xf numFmtId="0" fontId="3" fillId="0" borderId="50" xfId="1" applyFont="1" applyBorder="1" applyAlignment="1">
      <alignment horizontal="center"/>
    </xf>
    <xf numFmtId="0" fontId="3" fillId="0" borderId="38" xfId="1" applyFont="1" applyBorder="1" applyAlignment="1">
      <alignment horizontal="center" vertical="center"/>
    </xf>
    <xf numFmtId="165" fontId="9" fillId="4" borderId="39" xfId="0" applyNumberFormat="1" applyFont="1" applyFill="1" applyBorder="1"/>
    <xf numFmtId="0" fontId="3" fillId="0" borderId="40" xfId="1" applyFont="1" applyBorder="1" applyAlignment="1">
      <alignment horizontal="center"/>
    </xf>
    <xf numFmtId="3" fontId="9" fillId="5" borderId="37" xfId="0" applyNumberFormat="1" applyFont="1" applyFill="1" applyBorder="1" applyAlignment="1"/>
    <xf numFmtId="0" fontId="3" fillId="0" borderId="38" xfId="1" applyFont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166" fontId="9" fillId="5" borderId="38" xfId="0" applyNumberFormat="1" applyFont="1" applyFill="1" applyBorder="1"/>
    <xf numFmtId="3" fontId="9" fillId="5" borderId="38" xfId="0" applyNumberFormat="1" applyFont="1" applyFill="1" applyBorder="1" applyAlignment="1">
      <alignment horizontal="center"/>
    </xf>
    <xf numFmtId="0" fontId="3" fillId="0" borderId="37" xfId="1" applyFont="1" applyBorder="1" applyAlignment="1">
      <alignment vertical="top" wrapText="1"/>
    </xf>
    <xf numFmtId="3" fontId="9" fillId="4" borderId="38" xfId="0" applyNumberFormat="1" applyFont="1" applyFill="1" applyBorder="1" applyAlignment="1">
      <alignment horizontal="center"/>
    </xf>
    <xf numFmtId="166" fontId="9" fillId="4" borderId="38" xfId="0" applyNumberFormat="1" applyFont="1" applyFill="1" applyBorder="1"/>
    <xf numFmtId="3" fontId="9" fillId="4" borderId="0" xfId="0" applyNumberFormat="1" applyFont="1" applyFill="1" applyBorder="1" applyAlignment="1">
      <alignment horizontal="center" vertical="center"/>
    </xf>
    <xf numFmtId="4" fontId="9" fillId="4" borderId="38" xfId="0" applyNumberFormat="1" applyFont="1" applyFill="1" applyBorder="1"/>
    <xf numFmtId="3" fontId="9" fillId="5" borderId="0" xfId="0" applyNumberFormat="1" applyFont="1" applyFill="1" applyBorder="1" applyAlignment="1">
      <alignment horizontal="center" vertical="center"/>
    </xf>
    <xf numFmtId="165" fontId="9" fillId="5" borderId="38" xfId="0" applyNumberFormat="1" applyFont="1" applyFill="1" applyBorder="1"/>
    <xf numFmtId="3" fontId="9" fillId="3" borderId="1" xfId="0" applyNumberFormat="1" applyFont="1" applyFill="1" applyBorder="1"/>
    <xf numFmtId="3" fontId="9" fillId="3" borderId="49" xfId="0" applyNumberFormat="1" applyFont="1" applyFill="1" applyBorder="1" applyAlignment="1">
      <alignment horizontal="center"/>
    </xf>
    <xf numFmtId="3" fontId="9" fillId="0" borderId="0" xfId="0" applyNumberFormat="1" applyFont="1" applyFill="1" applyBorder="1"/>
    <xf numFmtId="3" fontId="1" fillId="0" borderId="0" xfId="0" applyNumberFormat="1" applyFont="1"/>
    <xf numFmtId="0" fontId="18" fillId="0" borderId="0" xfId="0" applyFont="1"/>
    <xf numFmtId="0" fontId="0" fillId="0" borderId="0" xfId="0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/>
    </xf>
    <xf numFmtId="3" fontId="0" fillId="0" borderId="0" xfId="0" applyNumberFormat="1"/>
    <xf numFmtId="167" fontId="0" fillId="0" borderId="0" xfId="2" applyNumberFormat="1" applyFont="1"/>
    <xf numFmtId="9" fontId="0" fillId="0" borderId="0" xfId="2" applyFont="1"/>
    <xf numFmtId="3" fontId="0" fillId="0" borderId="0" xfId="0" applyNumberFormat="1" applyAlignment="1">
      <alignment horizontal="center"/>
    </xf>
    <xf numFmtId="0" fontId="0" fillId="0" borderId="0" xfId="0" quotePrefix="1"/>
    <xf numFmtId="168" fontId="0" fillId="0" borderId="0" xfId="0" applyNumberFormat="1"/>
    <xf numFmtId="3" fontId="17" fillId="0" borderId="0" xfId="0" applyNumberFormat="1" applyFont="1"/>
    <xf numFmtId="2" fontId="0" fillId="0" borderId="0" xfId="0" applyNumberFormat="1"/>
    <xf numFmtId="10" fontId="0" fillId="0" borderId="0" xfId="2" applyNumberFormat="1" applyFont="1"/>
    <xf numFmtId="0" fontId="0" fillId="0" borderId="0" xfId="0" quotePrefix="1" applyAlignment="1">
      <alignment horizontal="center"/>
    </xf>
    <xf numFmtId="0" fontId="0" fillId="0" borderId="0" xfId="0" quotePrefix="1" applyAlignment="1">
      <alignment horizontal="right"/>
    </xf>
    <xf numFmtId="3" fontId="1" fillId="9" borderId="0" xfId="1" applyNumberFormat="1" applyFont="1" applyFill="1" applyBorder="1" applyAlignment="1">
      <alignment horizontal="left"/>
    </xf>
    <xf numFmtId="167" fontId="9" fillId="4" borderId="19" xfId="2" applyNumberFormat="1" applyFont="1" applyFill="1" applyBorder="1"/>
    <xf numFmtId="167" fontId="9" fillId="5" borderId="25" xfId="2" applyNumberFormat="1" applyFont="1" applyFill="1" applyBorder="1"/>
    <xf numFmtId="167" fontId="9" fillId="5" borderId="31" xfId="2" applyNumberFormat="1" applyFont="1" applyFill="1" applyBorder="1"/>
    <xf numFmtId="167" fontId="9" fillId="3" borderId="3" xfId="2" applyNumberFormat="1" applyFont="1" applyFill="1" applyBorder="1"/>
    <xf numFmtId="167" fontId="9" fillId="4" borderId="47" xfId="2" applyNumberFormat="1" applyFont="1" applyFill="1" applyBorder="1"/>
    <xf numFmtId="167" fontId="9" fillId="4" borderId="25" xfId="2" applyNumberFormat="1" applyFont="1" applyFill="1" applyBorder="1"/>
    <xf numFmtId="167" fontId="9" fillId="4" borderId="31" xfId="2" applyNumberFormat="1" applyFont="1" applyFill="1" applyBorder="1"/>
    <xf numFmtId="167" fontId="9" fillId="4" borderId="40" xfId="2" applyNumberFormat="1" applyFont="1" applyFill="1" applyBorder="1"/>
    <xf numFmtId="167" fontId="12" fillId="8" borderId="3" xfId="2" applyNumberFormat="1" applyFont="1" applyFill="1" applyBorder="1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3" fontId="9" fillId="4" borderId="37" xfId="0" applyNumberFormat="1" applyFont="1" applyFill="1" applyBorder="1" applyAlignment="1">
      <alignment horizontal="right"/>
    </xf>
    <xf numFmtId="0" fontId="3" fillId="0" borderId="53" xfId="1" quotePrefix="1" applyFont="1" applyBorder="1" applyAlignment="1">
      <alignment horizontal="center" vertical="center"/>
    </xf>
    <xf numFmtId="0" fontId="9" fillId="3" borderId="13" xfId="0" quotePrefix="1" applyNumberFormat="1" applyFont="1" applyFill="1" applyBorder="1" applyAlignment="1">
      <alignment horizontal="center"/>
    </xf>
    <xf numFmtId="0" fontId="9" fillId="3" borderId="54" xfId="0" quotePrefix="1" applyNumberFormat="1" applyFont="1" applyFill="1" applyBorder="1" applyAlignment="1">
      <alignment horizontal="center"/>
    </xf>
    <xf numFmtId="3" fontId="9" fillId="3" borderId="55" xfId="0" applyNumberFormat="1" applyFont="1" applyFill="1" applyBorder="1"/>
    <xf numFmtId="3" fontId="9" fillId="4" borderId="46" xfId="0" applyNumberFormat="1" applyFont="1" applyFill="1" applyBorder="1"/>
    <xf numFmtId="3" fontId="9" fillId="4" borderId="24" xfId="0" applyNumberFormat="1" applyFont="1" applyFill="1" applyBorder="1"/>
    <xf numFmtId="3" fontId="12" fillId="8" borderId="55" xfId="1" applyNumberFormat="1" applyFont="1" applyFill="1" applyBorder="1"/>
    <xf numFmtId="167" fontId="9" fillId="4" borderId="19" xfId="0" applyNumberFormat="1" applyFont="1" applyFill="1" applyBorder="1"/>
    <xf numFmtId="167" fontId="9" fillId="5" borderId="25" xfId="0" applyNumberFormat="1" applyFont="1" applyFill="1" applyBorder="1"/>
    <xf numFmtId="167" fontId="9" fillId="4" borderId="31" xfId="0" applyNumberFormat="1" applyFont="1" applyFill="1" applyBorder="1"/>
    <xf numFmtId="167" fontId="9" fillId="3" borderId="34" xfId="0" applyNumberFormat="1" applyFont="1" applyFill="1" applyBorder="1"/>
    <xf numFmtId="167" fontId="9" fillId="3" borderId="13" xfId="0" applyNumberFormat="1" applyFont="1" applyFill="1" applyBorder="1"/>
    <xf numFmtId="167" fontId="9" fillId="5" borderId="40" xfId="0" applyNumberFormat="1" applyFont="1" applyFill="1" applyBorder="1"/>
    <xf numFmtId="167" fontId="9" fillId="4" borderId="40" xfId="0" applyNumberFormat="1" applyFont="1" applyFill="1" applyBorder="1"/>
    <xf numFmtId="167" fontId="9" fillId="4" borderId="40" xfId="0" applyNumberFormat="1" applyFont="1" applyFill="1" applyBorder="1" applyAlignment="1">
      <alignment vertical="top"/>
    </xf>
    <xf numFmtId="167" fontId="9" fillId="3" borderId="40" xfId="0" applyNumberFormat="1" applyFont="1" applyFill="1" applyBorder="1"/>
    <xf numFmtId="167" fontId="9" fillId="6" borderId="34" xfId="0" applyNumberFormat="1" applyFont="1" applyFill="1" applyBorder="1"/>
    <xf numFmtId="167" fontId="9" fillId="4" borderId="34" xfId="0" applyNumberFormat="1" applyFont="1" applyFill="1" applyBorder="1"/>
    <xf numFmtId="167" fontId="9" fillId="5" borderId="47" xfId="0" applyNumberFormat="1" applyFont="1" applyFill="1" applyBorder="1"/>
    <xf numFmtId="167" fontId="9" fillId="5" borderId="31" xfId="0" applyNumberFormat="1" applyFont="1" applyFill="1" applyBorder="1"/>
    <xf numFmtId="167" fontId="12" fillId="8" borderId="34" xfId="1" applyNumberFormat="1" applyFont="1" applyFill="1" applyBorder="1"/>
    <xf numFmtId="167" fontId="14" fillId="8" borderId="13" xfId="1" applyNumberFormat="1" applyFont="1" applyFill="1" applyBorder="1"/>
    <xf numFmtId="0" fontId="3" fillId="0" borderId="53" xfId="1" applyFont="1" applyBorder="1" applyAlignment="1">
      <alignment horizontal="center" vertical="center"/>
    </xf>
    <xf numFmtId="0" fontId="10" fillId="3" borderId="35" xfId="0" quotePrefix="1" applyNumberFormat="1" applyFont="1" applyFill="1" applyBorder="1" applyAlignment="1">
      <alignment horizontal="center" vertical="center"/>
    </xf>
    <xf numFmtId="167" fontId="1" fillId="0" borderId="0" xfId="2" applyNumberFormat="1" applyFont="1"/>
    <xf numFmtId="0" fontId="0" fillId="0" borderId="56" xfId="0" applyBorder="1" applyAlignment="1">
      <alignment horizontal="center"/>
    </xf>
    <xf numFmtId="0" fontId="23" fillId="0" borderId="0" xfId="0" applyFont="1"/>
    <xf numFmtId="1" fontId="0" fillId="0" borderId="0" xfId="0" applyNumberFormat="1"/>
    <xf numFmtId="3" fontId="0" fillId="0" borderId="56" xfId="0" applyNumberFormat="1" applyBorder="1" applyAlignment="1">
      <alignment horizontal="center"/>
    </xf>
    <xf numFmtId="0" fontId="0" fillId="0" borderId="57" xfId="0" applyBorder="1"/>
    <xf numFmtId="3" fontId="0" fillId="0" borderId="6" xfId="0" applyNumberFormat="1" applyBorder="1" applyAlignment="1">
      <alignment horizontal="center"/>
    </xf>
    <xf numFmtId="3" fontId="0" fillId="0" borderId="58" xfId="0" applyNumberFormat="1" applyBorder="1"/>
    <xf numFmtId="0" fontId="0" fillId="0" borderId="59" xfId="0" applyBorder="1"/>
    <xf numFmtId="3" fontId="0" fillId="0" borderId="60" xfId="0" applyNumberFormat="1" applyBorder="1"/>
    <xf numFmtId="9" fontId="0" fillId="0" borderId="60" xfId="2" applyNumberFormat="1" applyFont="1" applyBorder="1"/>
    <xf numFmtId="167" fontId="0" fillId="0" borderId="60" xfId="2" applyNumberFormat="1" applyFont="1" applyBorder="1"/>
    <xf numFmtId="0" fontId="0" fillId="0" borderId="59" xfId="0" applyFill="1" applyBorder="1"/>
    <xf numFmtId="1" fontId="0" fillId="0" borderId="60" xfId="0" applyNumberFormat="1" applyBorder="1"/>
    <xf numFmtId="0" fontId="23" fillId="0" borderId="61" xfId="0" applyFont="1" applyFill="1" applyBorder="1" applyAlignment="1">
      <alignment wrapText="1"/>
    </xf>
    <xf numFmtId="0" fontId="0" fillId="0" borderId="9" xfId="0" applyBorder="1" applyAlignment="1">
      <alignment horizontal="center"/>
    </xf>
    <xf numFmtId="3" fontId="0" fillId="0" borderId="10" xfId="0" applyNumberFormat="1" applyBorder="1"/>
    <xf numFmtId="3" fontId="9" fillId="4" borderId="4" xfId="0" applyNumberFormat="1" applyFont="1" applyFill="1" applyBorder="1"/>
    <xf numFmtId="0" fontId="3" fillId="0" borderId="34" xfId="1" applyBorder="1" applyAlignment="1">
      <alignment horizontal="center"/>
    </xf>
    <xf numFmtId="0" fontId="3" fillId="0" borderId="37" xfId="1" applyBorder="1" applyAlignment="1">
      <alignment vertical="top" wrapText="1"/>
    </xf>
    <xf numFmtId="0" fontId="3" fillId="0" borderId="40" xfId="1" applyBorder="1" applyAlignment="1">
      <alignment horizontal="center"/>
    </xf>
    <xf numFmtId="9" fontId="3" fillId="0" borderId="32" xfId="2" applyFont="1" applyBorder="1" applyAlignment="1">
      <alignment horizontal="center"/>
    </xf>
    <xf numFmtId="0" fontId="3" fillId="0" borderId="0" xfId="1" applyBorder="1" applyAlignment="1">
      <alignment vertical="top" wrapText="1"/>
    </xf>
    <xf numFmtId="0" fontId="13" fillId="10" borderId="1" xfId="1" applyFont="1" applyFill="1" applyBorder="1" applyAlignment="1">
      <alignment horizontal="center" vertical="center"/>
    </xf>
    <xf numFmtId="0" fontId="13" fillId="10" borderId="2" xfId="1" applyFont="1" applyFill="1" applyBorder="1" applyAlignment="1">
      <alignment horizontal="center" vertical="center"/>
    </xf>
    <xf numFmtId="0" fontId="13" fillId="10" borderId="3" xfId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  <xf numFmtId="0" fontId="3" fillId="0" borderId="51" xfId="1" applyFont="1" applyBorder="1" applyAlignment="1">
      <alignment horizontal="center" vertical="top" wrapText="1"/>
    </xf>
    <xf numFmtId="0" fontId="3" fillId="0" borderId="52" xfId="1" applyFont="1" applyBorder="1" applyAlignment="1">
      <alignment horizontal="center" vertical="top" wrapText="1"/>
    </xf>
    <xf numFmtId="0" fontId="3" fillId="0" borderId="0" xfId="1" applyFont="1" applyFill="1" applyBorder="1" applyAlignment="1">
      <alignment vertical="top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3" fontId="11" fillId="3" borderId="4" xfId="0" applyNumberFormat="1" applyFont="1" applyFill="1" applyBorder="1" applyAlignment="1">
      <alignment horizontal="right" wrapText="1"/>
    </xf>
    <xf numFmtId="3" fontId="11" fillId="3" borderId="5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>
      <alignment horizontal="right"/>
    </xf>
    <xf numFmtId="3" fontId="11" fillId="3" borderId="5" xfId="0" applyNumberFormat="1" applyFont="1" applyFill="1" applyBorder="1" applyAlignment="1">
      <alignment horizontal="right"/>
    </xf>
    <xf numFmtId="3" fontId="11" fillId="6" borderId="4" xfId="0" applyNumberFormat="1" applyFont="1" applyFill="1" applyBorder="1" applyAlignment="1">
      <alignment horizontal="left" wrapText="1"/>
    </xf>
    <xf numFmtId="3" fontId="11" fillId="6" borderId="5" xfId="0" applyNumberFormat="1" applyFont="1" applyFill="1" applyBorder="1" applyAlignment="1">
      <alignment horizontal="left" wrapText="1"/>
    </xf>
    <xf numFmtId="3" fontId="11" fillId="3" borderId="4" xfId="0" applyNumberFormat="1" applyFont="1" applyFill="1" applyBorder="1" applyAlignment="1">
      <alignment horizontal="left" wrapText="1"/>
    </xf>
    <xf numFmtId="3" fontId="1" fillId="3" borderId="34" xfId="0" applyNumberFormat="1" applyFont="1" applyFill="1" applyBorder="1" applyAlignment="1">
      <alignment horizontal="left" wrapText="1"/>
    </xf>
    <xf numFmtId="0" fontId="12" fillId="7" borderId="4" xfId="1" applyFont="1" applyFill="1" applyBorder="1" applyAlignment="1">
      <alignment horizontal="left" wrapText="1"/>
    </xf>
    <xf numFmtId="0" fontId="12" fillId="7" borderId="5" xfId="1" applyFont="1" applyFill="1" applyBorder="1" applyAlignment="1">
      <alignment horizontal="left" wrapText="1"/>
    </xf>
  </cellXfs>
  <cellStyles count="3">
    <cellStyle name="Normale" xfId="0" builtinId="0"/>
    <cellStyle name="Normale 12" xfId="1" xr:uid="{00000000-0005-0000-0000-000001000000}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7</xdr:row>
      <xdr:rowOff>23812</xdr:rowOff>
    </xdr:from>
    <xdr:to>
      <xdr:col>2</xdr:col>
      <xdr:colOff>445293</xdr:colOff>
      <xdr:row>8</xdr:row>
      <xdr:rowOff>61912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" y="709612"/>
          <a:ext cx="907256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35718</xdr:colOff>
      <xdr:row>65</xdr:row>
      <xdr:rowOff>35720</xdr:rowOff>
    </xdr:from>
    <xdr:to>
      <xdr:col>2</xdr:col>
      <xdr:colOff>582945</xdr:colOff>
      <xdr:row>66</xdr:row>
      <xdr:rowOff>26987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968" y="12465845"/>
          <a:ext cx="1044115" cy="3690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13"/>
  <sheetViews>
    <sheetView showGridLines="0" tabSelected="1" zoomScaleNormal="100" workbookViewId="0">
      <selection activeCell="L35" sqref="L35"/>
    </sheetView>
  </sheetViews>
  <sheetFormatPr baseColWidth="10" defaultColWidth="9.1640625" defaultRowHeight="14" x14ac:dyDescent="0.15"/>
  <cols>
    <col min="1" max="1" width="6.83203125" style="1" customWidth="1"/>
    <col min="2" max="2" width="7.33203125" style="1" customWidth="1"/>
    <col min="3" max="3" width="44.6640625" style="1" customWidth="1"/>
    <col min="4" max="4" width="10.33203125" style="1" customWidth="1"/>
    <col min="5" max="8" width="9.1640625" style="1"/>
    <col min="9" max="9" width="10" style="1" customWidth="1"/>
    <col min="10" max="11" width="9.1640625" style="1"/>
    <col min="12" max="12" width="10.5" style="1" bestFit="1" customWidth="1"/>
    <col min="13" max="13" width="10.5" style="1" customWidth="1"/>
    <col min="14" max="14" width="9.1640625" style="1"/>
    <col min="15" max="15" width="9.83203125" style="1" customWidth="1"/>
    <col min="16" max="16" width="9.1640625" style="1"/>
    <col min="17" max="17" width="11.1640625" style="1" customWidth="1"/>
    <col min="18" max="18" width="9.5" style="1" bestFit="1" customWidth="1"/>
    <col min="19" max="20" width="9.1640625" style="1"/>
    <col min="21" max="21" width="9.5" style="1" bestFit="1" customWidth="1"/>
    <col min="22" max="22" width="9.1640625" style="1"/>
    <col min="23" max="23" width="9.5" style="1" bestFit="1" customWidth="1"/>
    <col min="24" max="16384" width="9.1640625" style="1"/>
  </cols>
  <sheetData>
    <row r="2" spans="2:19" ht="19" x14ac:dyDescent="0.25">
      <c r="C2" s="194" t="s">
        <v>215</v>
      </c>
    </row>
    <row r="3" spans="2:19" ht="15" x14ac:dyDescent="0.2">
      <c r="C3" s="1" t="s">
        <v>190</v>
      </c>
    </row>
    <row r="4" spans="2:19" x14ac:dyDescent="0.15">
      <c r="C4" s="1" t="s">
        <v>194</v>
      </c>
    </row>
    <row r="6" spans="2:19" ht="24" thickBot="1" x14ac:dyDescent="0.3">
      <c r="D6" s="2" t="s">
        <v>0</v>
      </c>
    </row>
    <row r="7" spans="2:19" ht="15" customHeight="1" thickBot="1" x14ac:dyDescent="0.2">
      <c r="B7" s="248" t="s">
        <v>170</v>
      </c>
      <c r="C7" s="249"/>
      <c r="D7" s="249"/>
      <c r="E7" s="249"/>
      <c r="F7" s="249"/>
      <c r="G7" s="249"/>
      <c r="H7" s="249"/>
      <c r="I7" s="249"/>
      <c r="J7" s="249"/>
      <c r="K7" s="250"/>
    </row>
    <row r="8" spans="2:19" s="4" customFormat="1" ht="35.5" customHeight="1" x14ac:dyDescent="0.2">
      <c r="B8" s="254" t="s">
        <v>1</v>
      </c>
      <c r="C8" s="255"/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3" t="s">
        <v>7</v>
      </c>
      <c r="J8" s="251" t="s">
        <v>8</v>
      </c>
      <c r="K8" s="252"/>
      <c r="L8"/>
    </row>
    <row r="9" spans="2:19" s="8" customFormat="1" ht="19.5" customHeight="1" thickBot="1" x14ac:dyDescent="0.25">
      <c r="B9" s="5" t="s">
        <v>237</v>
      </c>
      <c r="C9" s="6"/>
      <c r="D9" s="7" t="s">
        <v>171</v>
      </c>
      <c r="E9" s="7" t="s">
        <v>171</v>
      </c>
      <c r="F9" s="7" t="s">
        <v>10</v>
      </c>
      <c r="G9" s="7" t="s">
        <v>11</v>
      </c>
      <c r="H9" s="7" t="s">
        <v>12</v>
      </c>
      <c r="I9" s="7" t="s">
        <v>13</v>
      </c>
      <c r="J9" s="7" t="s">
        <v>14</v>
      </c>
      <c r="K9" s="220" t="s">
        <v>146</v>
      </c>
    </row>
    <row r="10" spans="2:19" s="12" customFormat="1" ht="15" thickBot="1" x14ac:dyDescent="0.25">
      <c r="B10" s="9" t="s">
        <v>15</v>
      </c>
      <c r="C10" s="9" t="s">
        <v>16</v>
      </c>
      <c r="D10" s="9" t="s">
        <v>17</v>
      </c>
      <c r="E10" s="9" t="s">
        <v>18</v>
      </c>
      <c r="F10" s="9" t="s">
        <v>19</v>
      </c>
      <c r="G10" s="9" t="s">
        <v>20</v>
      </c>
      <c r="H10" s="9" t="s">
        <v>21</v>
      </c>
      <c r="I10" s="10" t="s">
        <v>22</v>
      </c>
      <c r="J10" s="221" t="s">
        <v>23</v>
      </c>
      <c r="K10" s="11" t="s">
        <v>24</v>
      </c>
    </row>
    <row r="11" spans="2:19" ht="15" x14ac:dyDescent="0.15">
      <c r="B11" s="13" t="s">
        <v>25</v>
      </c>
      <c r="C11" s="14" t="s">
        <v>26</v>
      </c>
      <c r="D11" s="15"/>
      <c r="E11" s="16"/>
      <c r="F11" s="15"/>
      <c r="G11" s="16"/>
      <c r="H11" s="15"/>
      <c r="I11" s="17"/>
      <c r="J11" s="15"/>
      <c r="K11" s="205"/>
      <c r="M11" s="18"/>
    </row>
    <row r="12" spans="2:19" ht="14.25" customHeight="1" x14ac:dyDescent="0.15">
      <c r="B12" s="19" t="s">
        <v>27</v>
      </c>
      <c r="C12" s="20" t="s">
        <v>28</v>
      </c>
      <c r="D12" s="21">
        <v>17526719</v>
      </c>
      <c r="E12" s="22"/>
      <c r="F12" s="21">
        <v>2467</v>
      </c>
      <c r="G12" s="22"/>
      <c r="H12" s="21"/>
      <c r="I12" s="23"/>
      <c r="J12" s="21">
        <f>D12*$F$96+E12*$F$97+F12*$F$98+G12*$F$99+H12*$F$100+I12*$F$102</f>
        <v>183369</v>
      </c>
      <c r="K12" s="186">
        <f>IF(J12&gt;0,J12/J$26,"")</f>
        <v>0.89304303491234427</v>
      </c>
    </row>
    <row r="13" spans="2:19" ht="14.25" customHeight="1" x14ac:dyDescent="0.15">
      <c r="B13" s="19" t="s">
        <v>29</v>
      </c>
      <c r="C13" s="24" t="s">
        <v>30</v>
      </c>
      <c r="D13" s="25"/>
      <c r="E13" s="26"/>
      <c r="F13" s="25"/>
      <c r="G13" s="26"/>
      <c r="H13" s="25"/>
      <c r="I13" s="23"/>
      <c r="J13" s="21">
        <f t="shared" ref="J13:J14" si="0">D13*$F$96+E13*$F$97+F13*$F$98+G13*$F$99+H13*$F$100+I13*$F$102</f>
        <v>0</v>
      </c>
      <c r="K13" s="206" t="str">
        <f t="shared" ref="K13:K57" si="1">IF(J13&gt;0,J13/J$26,"")</f>
        <v/>
      </c>
      <c r="M13" s="27"/>
      <c r="Q13" s="27"/>
    </row>
    <row r="14" spans="2:19" ht="14.25" customHeight="1" thickBot="1" x14ac:dyDescent="0.2">
      <c r="B14" s="28" t="s">
        <v>31</v>
      </c>
      <c r="C14" s="29" t="s">
        <v>32</v>
      </c>
      <c r="D14" s="30"/>
      <c r="E14" s="31"/>
      <c r="F14" s="30"/>
      <c r="G14" s="31"/>
      <c r="H14" s="30"/>
      <c r="I14" s="32"/>
      <c r="J14" s="30">
        <f t="shared" si="0"/>
        <v>0</v>
      </c>
      <c r="K14" s="207" t="str">
        <f t="shared" si="1"/>
        <v/>
      </c>
      <c r="M14" s="27"/>
      <c r="S14" s="27"/>
    </row>
    <row r="15" spans="2:19" ht="18" customHeight="1" x14ac:dyDescent="0.15">
      <c r="B15" s="256" t="s">
        <v>33</v>
      </c>
      <c r="C15" s="257"/>
      <c r="D15" s="33">
        <f t="shared" ref="D15:J15" si="2">SUM(D11:D14)</f>
        <v>17526719</v>
      </c>
      <c r="E15" s="34">
        <f t="shared" si="2"/>
        <v>0</v>
      </c>
      <c r="F15" s="33">
        <f t="shared" si="2"/>
        <v>2467</v>
      </c>
      <c r="G15" s="34">
        <f t="shared" si="2"/>
        <v>0</v>
      </c>
      <c r="H15" s="33">
        <f t="shared" si="2"/>
        <v>0</v>
      </c>
      <c r="I15" s="35">
        <f t="shared" si="2"/>
        <v>0</v>
      </c>
      <c r="J15" s="33">
        <f t="shared" si="2"/>
        <v>183369</v>
      </c>
      <c r="K15" s="208">
        <f t="shared" si="1"/>
        <v>0.89304303491234427</v>
      </c>
      <c r="M15" s="27"/>
      <c r="Q15" s="27"/>
    </row>
    <row r="16" spans="2:19" ht="15" thickBot="1" x14ac:dyDescent="0.2">
      <c r="B16" s="36"/>
      <c r="C16" s="37" t="s">
        <v>34</v>
      </c>
      <c r="D16" s="38"/>
      <c r="E16" s="39"/>
      <c r="F16" s="38">
        <f>F110*F12</f>
        <v>666.09</v>
      </c>
      <c r="G16" s="39"/>
      <c r="H16" s="38"/>
      <c r="I16" s="40"/>
      <c r="J16" s="38">
        <f>D16*$F$96+E16*$F$97+F16*$F$98+G16*$F$99+H16*$F$100+I16*$F$102</f>
        <v>666.09</v>
      </c>
      <c r="K16" s="209">
        <f t="shared" si="1"/>
        <v>3.2439890882579032E-3</v>
      </c>
      <c r="M16" s="27"/>
      <c r="Q16" s="27"/>
    </row>
    <row r="17" spans="2:17" x14ac:dyDescent="0.15">
      <c r="B17" s="41" t="s">
        <v>35</v>
      </c>
      <c r="C17" s="42" t="s">
        <v>36</v>
      </c>
      <c r="D17" s="43"/>
      <c r="E17" s="44"/>
      <c r="F17" s="43"/>
      <c r="G17" s="44"/>
      <c r="H17" s="43"/>
      <c r="I17" s="45"/>
      <c r="J17" s="43"/>
      <c r="K17" s="210" t="str">
        <f t="shared" si="1"/>
        <v/>
      </c>
      <c r="M17" s="27"/>
      <c r="Q17" s="27"/>
    </row>
    <row r="18" spans="2:17" ht="14.25" customHeight="1" x14ac:dyDescent="0.15">
      <c r="B18" s="46" t="s">
        <v>37</v>
      </c>
      <c r="C18" s="47" t="s">
        <v>38</v>
      </c>
      <c r="D18" s="48"/>
      <c r="E18" s="49">
        <v>495860</v>
      </c>
      <c r="F18" s="48"/>
      <c r="G18" s="49"/>
      <c r="H18" s="48"/>
      <c r="I18" s="50"/>
      <c r="J18" s="48">
        <f t="shared" ref="J18:J23" si="3">D18*$F$96+E18*$F$97+F18*$F$98+G18*$F$99+H18*$F$100+I18*$F$102</f>
        <v>4196</v>
      </c>
      <c r="K18" s="211">
        <f t="shared" si="1"/>
        <v>2.0435343893963519E-2</v>
      </c>
      <c r="M18" s="27"/>
      <c r="Q18" s="27"/>
    </row>
    <row r="19" spans="2:17" ht="14.25" customHeight="1" x14ac:dyDescent="0.15">
      <c r="B19" s="46" t="s">
        <v>39</v>
      </c>
      <c r="C19" s="47" t="s">
        <v>137</v>
      </c>
      <c r="D19" s="48"/>
      <c r="E19" s="49"/>
      <c r="F19" s="48"/>
      <c r="G19" s="49">
        <f>(139426+7262)*0.121111</f>
        <v>17765.530368</v>
      </c>
      <c r="H19" s="48"/>
      <c r="I19" s="50"/>
      <c r="J19" s="48">
        <f t="shared" si="3"/>
        <v>17765.530368</v>
      </c>
      <c r="K19" s="211">
        <f t="shared" si="1"/>
        <v>8.6521621193692153E-2</v>
      </c>
      <c r="M19" s="27"/>
      <c r="Q19" s="27"/>
    </row>
    <row r="20" spans="2:17" ht="14.25" customHeight="1" x14ac:dyDescent="0.15">
      <c r="B20" s="46" t="s">
        <v>40</v>
      </c>
      <c r="C20" s="47" t="s">
        <v>41</v>
      </c>
      <c r="D20" s="48"/>
      <c r="E20" s="49"/>
      <c r="F20" s="48"/>
      <c r="G20" s="49"/>
      <c r="H20" s="48"/>
      <c r="I20" s="50"/>
      <c r="J20" s="48">
        <f t="shared" si="3"/>
        <v>0</v>
      </c>
      <c r="K20" s="211" t="str">
        <f t="shared" si="1"/>
        <v/>
      </c>
      <c r="M20" s="27"/>
      <c r="Q20" s="27"/>
    </row>
    <row r="21" spans="2:17" ht="14.25" customHeight="1" x14ac:dyDescent="0.15">
      <c r="B21" s="51" t="s">
        <v>42</v>
      </c>
      <c r="C21" s="52" t="s">
        <v>44</v>
      </c>
      <c r="D21" s="53"/>
      <c r="E21" s="54"/>
      <c r="F21" s="53"/>
      <c r="G21" s="54"/>
      <c r="H21" s="53"/>
      <c r="I21" s="55"/>
      <c r="J21" s="53">
        <f t="shared" si="3"/>
        <v>0</v>
      </c>
      <c r="K21" s="212" t="str">
        <f t="shared" si="1"/>
        <v/>
      </c>
      <c r="M21" s="27"/>
      <c r="Q21" s="27"/>
    </row>
    <row r="22" spans="2:17" ht="14.25" customHeight="1" x14ac:dyDescent="0.15">
      <c r="B22" s="51" t="s">
        <v>43</v>
      </c>
      <c r="C22" s="52" t="s">
        <v>44</v>
      </c>
      <c r="D22" s="53"/>
      <c r="E22" s="54"/>
      <c r="F22" s="56"/>
      <c r="G22" s="54"/>
      <c r="H22" s="53"/>
      <c r="I22" s="55"/>
      <c r="J22" s="53">
        <f t="shared" si="3"/>
        <v>0</v>
      </c>
      <c r="K22" s="212" t="str">
        <f t="shared" si="1"/>
        <v/>
      </c>
      <c r="M22" s="27"/>
      <c r="Q22" s="27"/>
    </row>
    <row r="23" spans="2:17" ht="14.25" customHeight="1" thickBot="1" x14ac:dyDescent="0.2">
      <c r="B23" s="46" t="s">
        <v>45</v>
      </c>
      <c r="C23" s="47" t="s">
        <v>46</v>
      </c>
      <c r="D23" s="48"/>
      <c r="E23" s="49"/>
      <c r="F23" s="48"/>
      <c r="G23" s="49"/>
      <c r="H23" s="48"/>
      <c r="I23" s="50"/>
      <c r="J23" s="48">
        <f t="shared" si="3"/>
        <v>0</v>
      </c>
      <c r="K23" s="211" t="str">
        <f t="shared" si="1"/>
        <v/>
      </c>
      <c r="M23" s="27"/>
      <c r="Q23" s="27"/>
    </row>
    <row r="24" spans="2:17" x14ac:dyDescent="0.15">
      <c r="B24" s="258" t="s">
        <v>47</v>
      </c>
      <c r="C24" s="259"/>
      <c r="D24" s="33">
        <f>D18+D19+D20+D21+D22+D23</f>
        <v>0</v>
      </c>
      <c r="E24" s="34">
        <f t="shared" ref="E24:J24" si="4">E18+E19+E20+E21+E22+E23</f>
        <v>495860</v>
      </c>
      <c r="F24" s="33">
        <f t="shared" si="4"/>
        <v>0</v>
      </c>
      <c r="G24" s="34">
        <f t="shared" si="4"/>
        <v>17765.530368</v>
      </c>
      <c r="H24" s="33">
        <f>H18+H19+H20+H21+H22+H23</f>
        <v>0</v>
      </c>
      <c r="I24" s="35">
        <f t="shared" si="4"/>
        <v>0</v>
      </c>
      <c r="J24" s="33">
        <f t="shared" si="4"/>
        <v>21961.530368</v>
      </c>
      <c r="K24" s="208">
        <f t="shared" si="1"/>
        <v>0.10695696508765568</v>
      </c>
      <c r="M24" s="27"/>
      <c r="Q24" s="27"/>
    </row>
    <row r="25" spans="2:17" ht="15" thickBot="1" x14ac:dyDescent="0.2">
      <c r="B25" s="57"/>
      <c r="C25" s="58" t="s">
        <v>34</v>
      </c>
      <c r="D25" s="59"/>
      <c r="E25" s="60">
        <v>495860</v>
      </c>
      <c r="F25" s="59"/>
      <c r="G25" s="60">
        <f>0.03*G19</f>
        <v>532.96591103999992</v>
      </c>
      <c r="H25" s="59"/>
      <c r="I25" s="61"/>
      <c r="J25" s="59">
        <f>D25*$F$96+E25*$F$97+F25*$F$98+G25*$F$99+H25*$F$100+I25*$F$102</f>
        <v>4728.9659110399998</v>
      </c>
      <c r="K25" s="213">
        <f t="shared" si="1"/>
        <v>2.3030992529774284E-2</v>
      </c>
      <c r="M25" s="27"/>
      <c r="Q25" s="27"/>
    </row>
    <row r="26" spans="2:17" ht="18" customHeight="1" x14ac:dyDescent="0.15">
      <c r="B26" s="260" t="s">
        <v>48</v>
      </c>
      <c r="C26" s="261"/>
      <c r="D26" s="62">
        <f>D24+D15</f>
        <v>17526719</v>
      </c>
      <c r="E26" s="63">
        <f t="shared" ref="E26:J27" si="5">E24+E15</f>
        <v>495860</v>
      </c>
      <c r="F26" s="62">
        <f t="shared" si="5"/>
        <v>2467</v>
      </c>
      <c r="G26" s="63">
        <f t="shared" si="5"/>
        <v>17765.530368</v>
      </c>
      <c r="H26" s="62"/>
      <c r="I26" s="64">
        <f t="shared" si="5"/>
        <v>0</v>
      </c>
      <c r="J26" s="62">
        <f t="shared" si="5"/>
        <v>205330.53036800001</v>
      </c>
      <c r="K26" s="214">
        <f t="shared" si="1"/>
        <v>1</v>
      </c>
      <c r="M26" s="27"/>
      <c r="Q26" s="27"/>
    </row>
    <row r="27" spans="2:17" ht="15" thickBot="1" x14ac:dyDescent="0.2">
      <c r="B27" s="65"/>
      <c r="C27" s="37" t="s">
        <v>49</v>
      </c>
      <c r="D27" s="38">
        <f>D25+D16</f>
        <v>0</v>
      </c>
      <c r="E27" s="39">
        <f t="shared" si="5"/>
        <v>495860</v>
      </c>
      <c r="F27" s="38">
        <f t="shared" si="5"/>
        <v>666.09</v>
      </c>
      <c r="G27" s="39">
        <f t="shared" si="5"/>
        <v>532.96591103999992</v>
      </c>
      <c r="H27" s="38">
        <f t="shared" si="5"/>
        <v>0</v>
      </c>
      <c r="I27" s="40">
        <f t="shared" si="5"/>
        <v>0</v>
      </c>
      <c r="J27" s="38">
        <f t="shared" si="5"/>
        <v>5395.05591104</v>
      </c>
      <c r="K27" s="209">
        <f t="shared" si="1"/>
        <v>2.6274981618032187E-2</v>
      </c>
      <c r="M27" s="27"/>
      <c r="Q27" s="27"/>
    </row>
    <row r="28" spans="2:17" x14ac:dyDescent="0.15">
      <c r="B28" s="66" t="s">
        <v>50</v>
      </c>
      <c r="C28" s="67" t="s">
        <v>51</v>
      </c>
      <c r="D28" s="43"/>
      <c r="E28" s="44"/>
      <c r="F28" s="43"/>
      <c r="G28" s="44"/>
      <c r="H28" s="43"/>
      <c r="I28" s="45"/>
      <c r="J28" s="43"/>
      <c r="K28" s="210" t="str">
        <f t="shared" si="1"/>
        <v/>
      </c>
      <c r="M28" s="27"/>
      <c r="Q28" s="27"/>
    </row>
    <row r="29" spans="2:17" x14ac:dyDescent="0.15">
      <c r="B29" s="68" t="s">
        <v>52</v>
      </c>
      <c r="C29" s="69" t="s">
        <v>53</v>
      </c>
      <c r="D29" s="43"/>
      <c r="E29" s="44"/>
      <c r="F29" s="43"/>
      <c r="G29" s="44"/>
      <c r="H29" s="43"/>
      <c r="I29" s="45"/>
      <c r="J29" s="43">
        <f t="shared" ref="J29:J30" si="6">D29*$F$96+E29*$F$97+F29*$F$98+G29*$F$99+H29*$F$100+I29*$F$102</f>
        <v>0</v>
      </c>
      <c r="K29" s="210" t="str">
        <f t="shared" si="1"/>
        <v/>
      </c>
      <c r="M29" s="27"/>
      <c r="Q29" s="27"/>
    </row>
    <row r="30" spans="2:17" ht="15" thickBot="1" x14ac:dyDescent="0.2">
      <c r="B30" s="68" t="s">
        <v>54</v>
      </c>
      <c r="C30" s="69" t="s">
        <v>136</v>
      </c>
      <c r="D30" s="43"/>
      <c r="E30" s="44"/>
      <c r="F30" s="43">
        <v>3612</v>
      </c>
      <c r="G30" s="44"/>
      <c r="H30" s="43"/>
      <c r="I30" s="45"/>
      <c r="J30" s="43">
        <f t="shared" si="6"/>
        <v>3612</v>
      </c>
      <c r="K30" s="210">
        <f t="shared" si="1"/>
        <v>1.7591149224260305E-2</v>
      </c>
      <c r="M30" s="27"/>
      <c r="Q30" s="27"/>
    </row>
    <row r="31" spans="2:17" ht="16" x14ac:dyDescent="0.2">
      <c r="B31" s="70"/>
      <c r="C31" s="71" t="s">
        <v>55</v>
      </c>
      <c r="D31" s="33">
        <f>D30+D29</f>
        <v>0</v>
      </c>
      <c r="E31" s="34">
        <f t="shared" ref="E31:I31" si="7">E30+E29</f>
        <v>0</v>
      </c>
      <c r="F31" s="33">
        <f t="shared" si="7"/>
        <v>3612</v>
      </c>
      <c r="G31" s="34">
        <f t="shared" si="7"/>
        <v>0</v>
      </c>
      <c r="H31" s="33">
        <f t="shared" si="7"/>
        <v>0</v>
      </c>
      <c r="I31" s="35">
        <f t="shared" si="7"/>
        <v>0</v>
      </c>
      <c r="J31" s="33">
        <f>E31*F97+F31*F98</f>
        <v>3612</v>
      </c>
      <c r="K31" s="208">
        <f t="shared" si="1"/>
        <v>1.7591149224260305E-2</v>
      </c>
      <c r="M31" s="27"/>
      <c r="Q31" s="27"/>
    </row>
    <row r="32" spans="2:17" ht="15" thickBot="1" x14ac:dyDescent="0.2">
      <c r="B32" s="65"/>
      <c r="C32" s="37" t="s">
        <v>34</v>
      </c>
      <c r="D32" s="38"/>
      <c r="E32" s="38"/>
      <c r="F32" s="38">
        <f>0.031*F30</f>
        <v>111.97199999999999</v>
      </c>
      <c r="G32" s="38"/>
      <c r="H32" s="38"/>
      <c r="I32" s="40"/>
      <c r="J32" s="38">
        <f>D32*$F$96+E32*$F$97+F32*$F$98+G32*$F$99+H32*$F$100+I32*$F$102</f>
        <v>111.97199999999999</v>
      </c>
      <c r="K32" s="209">
        <f t="shared" si="1"/>
        <v>5.4532562595206941E-4</v>
      </c>
      <c r="M32" s="27"/>
      <c r="Q32" s="27"/>
    </row>
    <row r="33" spans="2:17" x14ac:dyDescent="0.15">
      <c r="B33" s="66" t="s">
        <v>56</v>
      </c>
      <c r="C33" s="67" t="s">
        <v>57</v>
      </c>
      <c r="D33" s="43"/>
      <c r="E33" s="44"/>
      <c r="F33" s="43"/>
      <c r="G33" s="44"/>
      <c r="H33" s="43"/>
      <c r="I33" s="45"/>
      <c r="J33" s="43"/>
      <c r="K33" s="210" t="str">
        <f t="shared" si="1"/>
        <v/>
      </c>
      <c r="M33" s="27"/>
      <c r="Q33" s="27"/>
    </row>
    <row r="34" spans="2:17" x14ac:dyDescent="0.15">
      <c r="B34" s="68" t="s">
        <v>58</v>
      </c>
      <c r="C34" s="69" t="s">
        <v>59</v>
      </c>
      <c r="D34" s="43"/>
      <c r="E34" s="44"/>
      <c r="F34" s="43"/>
      <c r="G34" s="44"/>
      <c r="H34" s="43"/>
      <c r="I34" s="45"/>
      <c r="J34" s="43">
        <f t="shared" ref="J34:J35" si="8">D34*$F$96+E34*$F$97+F34*$F$98+G34*$F$99+H34*$F$100+I34*$F$102</f>
        <v>0</v>
      </c>
      <c r="K34" s="210" t="str">
        <f t="shared" si="1"/>
        <v/>
      </c>
      <c r="M34" s="27"/>
      <c r="Q34" s="27"/>
    </row>
    <row r="35" spans="2:17" ht="15" thickBot="1" x14ac:dyDescent="0.2">
      <c r="B35" s="72" t="s">
        <v>58</v>
      </c>
      <c r="C35" s="44" t="s">
        <v>60</v>
      </c>
      <c r="D35" s="43"/>
      <c r="E35" s="44"/>
      <c r="F35" s="43"/>
      <c r="G35" s="44"/>
      <c r="H35" s="43"/>
      <c r="I35" s="45"/>
      <c r="J35" s="43">
        <f t="shared" si="8"/>
        <v>0</v>
      </c>
      <c r="K35" s="210" t="str">
        <f t="shared" si="1"/>
        <v/>
      </c>
      <c r="M35" s="27"/>
      <c r="Q35" s="27"/>
    </row>
    <row r="36" spans="2:17" ht="16" x14ac:dyDescent="0.2">
      <c r="B36" s="70"/>
      <c r="C36" s="71" t="s">
        <v>61</v>
      </c>
      <c r="D36" s="33">
        <f>D34+D35</f>
        <v>0</v>
      </c>
      <c r="E36" s="34">
        <f t="shared" ref="E36:J36" si="9">E34+E35</f>
        <v>0</v>
      </c>
      <c r="F36" s="33">
        <f t="shared" si="9"/>
        <v>0</v>
      </c>
      <c r="G36" s="34">
        <f t="shared" si="9"/>
        <v>0</v>
      </c>
      <c r="H36" s="33">
        <f t="shared" si="9"/>
        <v>0</v>
      </c>
      <c r="I36" s="35">
        <f t="shared" si="9"/>
        <v>0</v>
      </c>
      <c r="J36" s="33">
        <f t="shared" si="9"/>
        <v>0</v>
      </c>
      <c r="K36" s="208" t="str">
        <f t="shared" si="1"/>
        <v/>
      </c>
    </row>
    <row r="37" spans="2:17" ht="15" thickBot="1" x14ac:dyDescent="0.2">
      <c r="B37" s="65"/>
      <c r="C37" s="37" t="s">
        <v>34</v>
      </c>
      <c r="D37" s="38"/>
      <c r="E37" s="39"/>
      <c r="F37" s="38"/>
      <c r="G37" s="39"/>
      <c r="H37" s="38"/>
      <c r="I37" s="40"/>
      <c r="J37" s="38">
        <f>D37*$F$96+E37*$F$97+F37*$F$98+G37*$F$99+H37*$F$100+I37*$F$102</f>
        <v>0</v>
      </c>
      <c r="K37" s="209" t="str">
        <f t="shared" si="1"/>
        <v/>
      </c>
    </row>
    <row r="38" spans="2:17" x14ac:dyDescent="0.15">
      <c r="B38" s="66" t="s">
        <v>62</v>
      </c>
      <c r="C38" s="67" t="s">
        <v>63</v>
      </c>
      <c r="D38" s="43"/>
      <c r="E38" s="44"/>
      <c r="F38" s="43"/>
      <c r="G38" s="44"/>
      <c r="H38" s="43"/>
      <c r="I38" s="45"/>
      <c r="J38" s="43"/>
      <c r="K38" s="210" t="str">
        <f t="shared" si="1"/>
        <v/>
      </c>
    </row>
    <row r="39" spans="2:17" ht="15" thickBot="1" x14ac:dyDescent="0.2">
      <c r="B39" s="68" t="s">
        <v>64</v>
      </c>
      <c r="C39" s="69" t="s">
        <v>65</v>
      </c>
      <c r="D39" s="43"/>
      <c r="E39" s="44"/>
      <c r="F39" s="43"/>
      <c r="G39" s="44"/>
      <c r="H39" s="43"/>
      <c r="I39" s="45"/>
      <c r="J39" s="43">
        <f t="shared" ref="J39:J43" si="10">D39*$F$96+E39*$F$97+F39*$F$98+G39*$F$99+H39*$F$100+I39*$F$102</f>
        <v>0</v>
      </c>
      <c r="K39" s="210" t="str">
        <f t="shared" si="1"/>
        <v/>
      </c>
    </row>
    <row r="40" spans="2:17" ht="16" x14ac:dyDescent="0.2">
      <c r="B40" s="70"/>
      <c r="C40" s="73" t="s">
        <v>66</v>
      </c>
      <c r="D40" s="35">
        <f>D39</f>
        <v>0</v>
      </c>
      <c r="E40" s="34">
        <f t="shared" ref="E40:I40" si="11">E39</f>
        <v>0</v>
      </c>
      <c r="F40" s="33">
        <f t="shared" si="11"/>
        <v>0</v>
      </c>
      <c r="G40" s="34">
        <f t="shared" si="11"/>
        <v>0</v>
      </c>
      <c r="H40" s="33">
        <f t="shared" si="11"/>
        <v>0</v>
      </c>
      <c r="I40" s="35">
        <f t="shared" si="11"/>
        <v>0</v>
      </c>
      <c r="J40" s="33">
        <f t="shared" si="10"/>
        <v>0</v>
      </c>
      <c r="K40" s="208" t="str">
        <f t="shared" si="1"/>
        <v/>
      </c>
    </row>
    <row r="41" spans="2:17" ht="15" thickBot="1" x14ac:dyDescent="0.2">
      <c r="B41" s="74"/>
      <c r="C41" s="75" t="s">
        <v>34</v>
      </c>
      <c r="D41" s="40"/>
      <c r="E41" s="39"/>
      <c r="F41" s="38"/>
      <c r="G41" s="39"/>
      <c r="H41" s="38"/>
      <c r="I41" s="40"/>
      <c r="J41" s="38">
        <f t="shared" si="10"/>
        <v>0</v>
      </c>
      <c r="K41" s="209" t="str">
        <f t="shared" si="1"/>
        <v/>
      </c>
    </row>
    <row r="42" spans="2:17" ht="17.25" customHeight="1" x14ac:dyDescent="0.15">
      <c r="B42" s="262" t="s">
        <v>67</v>
      </c>
      <c r="C42" s="263"/>
      <c r="D42" s="35">
        <f t="shared" ref="D42:I43" si="12">D26-D31-D36-D40</f>
        <v>17526719</v>
      </c>
      <c r="E42" s="34">
        <f t="shared" si="12"/>
        <v>495860</v>
      </c>
      <c r="F42" s="33">
        <f>F26-F31-F36-F40</f>
        <v>-1145</v>
      </c>
      <c r="G42" s="34">
        <f t="shared" si="12"/>
        <v>17765.530368</v>
      </c>
      <c r="H42" s="33">
        <f t="shared" si="12"/>
        <v>0</v>
      </c>
      <c r="I42" s="35">
        <f t="shared" si="12"/>
        <v>0</v>
      </c>
      <c r="J42" s="33">
        <f t="shared" si="10"/>
        <v>201718.53036800001</v>
      </c>
      <c r="K42" s="208">
        <f>IF(J42&gt;0,J42/J$26,"")</f>
        <v>0.98240885077573969</v>
      </c>
    </row>
    <row r="43" spans="2:17" ht="15" thickBot="1" x14ac:dyDescent="0.2">
      <c r="B43" s="65"/>
      <c r="C43" s="76" t="s">
        <v>68</v>
      </c>
      <c r="D43" s="40"/>
      <c r="E43" s="39">
        <f t="shared" si="12"/>
        <v>495860</v>
      </c>
      <c r="F43" s="38">
        <f>F27-F32-F37-F41</f>
        <v>554.11800000000005</v>
      </c>
      <c r="G43" s="39">
        <f>G27</f>
        <v>532.96591103999992</v>
      </c>
      <c r="H43" s="38"/>
      <c r="I43" s="40"/>
      <c r="J43" s="38">
        <f t="shared" si="10"/>
        <v>5283.0839110400002</v>
      </c>
      <c r="K43" s="209">
        <f>IF(J43&gt;0,J43/J$26,"")</f>
        <v>2.572965599208012E-2</v>
      </c>
      <c r="M43" s="222"/>
    </row>
    <row r="44" spans="2:17" x14ac:dyDescent="0.15">
      <c r="B44" s="77" t="s">
        <v>69</v>
      </c>
      <c r="C44" s="78" t="s">
        <v>70</v>
      </c>
      <c r="D44" s="79"/>
      <c r="E44" s="80"/>
      <c r="F44" s="79"/>
      <c r="G44" s="80"/>
      <c r="H44" s="79"/>
      <c r="I44" s="81"/>
      <c r="J44" s="79"/>
      <c r="K44" s="215" t="str">
        <f t="shared" si="1"/>
        <v/>
      </c>
    </row>
    <row r="45" spans="2:17" x14ac:dyDescent="0.15">
      <c r="B45" s="82" t="s">
        <v>71</v>
      </c>
      <c r="C45" s="83" t="s">
        <v>193</v>
      </c>
      <c r="D45" s="84">
        <v>17526719</v>
      </c>
      <c r="E45" s="85">
        <v>495860</v>
      </c>
      <c r="F45" s="84"/>
      <c r="G45" s="85">
        <f>G42</f>
        <v>17765.530368</v>
      </c>
      <c r="H45" s="84"/>
      <c r="I45" s="86"/>
      <c r="J45" s="84">
        <f t="shared" ref="J45:J46" si="13">D45*$F$96+E45*$F$97+F45*$F$98+G45*$F$99+H45*$F$100+I45*$F$102</f>
        <v>202863.53036800001</v>
      </c>
      <c r="K45" s="216">
        <f t="shared" si="1"/>
        <v>0.98798522559904478</v>
      </c>
    </row>
    <row r="46" spans="2:17" ht="15" thickBot="1" x14ac:dyDescent="0.2">
      <c r="B46" s="87" t="s">
        <v>72</v>
      </c>
      <c r="C46" s="88"/>
      <c r="D46" s="89"/>
      <c r="E46" s="90"/>
      <c r="F46" s="89"/>
      <c r="G46" s="90"/>
      <c r="H46" s="89"/>
      <c r="I46" s="91"/>
      <c r="J46" s="89">
        <f t="shared" si="13"/>
        <v>0</v>
      </c>
      <c r="K46" s="217" t="str">
        <f t="shared" si="1"/>
        <v/>
      </c>
    </row>
    <row r="47" spans="2:17" ht="16" x14ac:dyDescent="0.2">
      <c r="B47" s="70"/>
      <c r="C47" s="71" t="s">
        <v>73</v>
      </c>
      <c r="D47" s="33">
        <f t="shared" ref="D47:J47" si="14">D45+D46</f>
        <v>17526719</v>
      </c>
      <c r="E47" s="34">
        <f t="shared" si="14"/>
        <v>495860</v>
      </c>
      <c r="F47" s="33">
        <f t="shared" si="14"/>
        <v>0</v>
      </c>
      <c r="G47" s="34">
        <f t="shared" si="14"/>
        <v>17765.530368</v>
      </c>
      <c r="H47" s="33">
        <f t="shared" si="14"/>
        <v>0</v>
      </c>
      <c r="I47" s="35">
        <f t="shared" si="14"/>
        <v>0</v>
      </c>
      <c r="J47" s="33">
        <f t="shared" si="14"/>
        <v>202863.53036800001</v>
      </c>
      <c r="K47" s="208">
        <f>IF(J47&gt;0,J47/J$26,"")</f>
        <v>0.98798522559904478</v>
      </c>
    </row>
    <row r="48" spans="2:17" ht="15" thickBot="1" x14ac:dyDescent="0.2">
      <c r="B48" s="36"/>
      <c r="C48" s="37" t="s">
        <v>34</v>
      </c>
      <c r="D48" s="38"/>
      <c r="E48" s="39">
        <f>E43</f>
        <v>495860</v>
      </c>
      <c r="F48" s="94"/>
      <c r="G48" s="39">
        <f>G43</f>
        <v>532.96591103999992</v>
      </c>
      <c r="H48" s="38"/>
      <c r="I48" s="40"/>
      <c r="J48" s="38">
        <f>D48*$F$96+E48*$F$97+F48*$F$98+G48*$F$99+H48*$F$100+I48*$F$102</f>
        <v>4728.9659110399998</v>
      </c>
      <c r="K48" s="209">
        <f t="shared" si="1"/>
        <v>2.3030992529774284E-2</v>
      </c>
    </row>
    <row r="49" spans="1:14" x14ac:dyDescent="0.15">
      <c r="B49" s="95" t="s">
        <v>74</v>
      </c>
      <c r="C49" s="96" t="s">
        <v>75</v>
      </c>
      <c r="D49" s="84"/>
      <c r="E49" s="85"/>
      <c r="F49" s="84"/>
      <c r="G49" s="85"/>
      <c r="H49" s="84"/>
      <c r="I49" s="86"/>
      <c r="J49" s="84"/>
      <c r="K49" s="216" t="str">
        <f t="shared" si="1"/>
        <v/>
      </c>
    </row>
    <row r="50" spans="1:14" x14ac:dyDescent="0.15">
      <c r="B50" s="97" t="s">
        <v>76</v>
      </c>
      <c r="C50" s="98" t="s">
        <v>193</v>
      </c>
      <c r="D50" s="21"/>
      <c r="E50" s="22"/>
      <c r="F50" s="21"/>
      <c r="G50" s="22">
        <v>4567</v>
      </c>
      <c r="H50" s="21">
        <v>141745</v>
      </c>
      <c r="I50" s="23"/>
      <c r="J50" s="21">
        <f t="shared" ref="J50:J53" si="15">D50*$F$96+E50*$F$97+F50*$F$98+G50*$F$99+H50*$F$100+I50*$F$102</f>
        <v>112450.53694999999</v>
      </c>
      <c r="K50" s="206">
        <f t="shared" si="1"/>
        <v>0.54765619486036743</v>
      </c>
      <c r="M50" s="168"/>
    </row>
    <row r="51" spans="1:14" x14ac:dyDescent="0.15">
      <c r="B51" s="92"/>
      <c r="C51" s="93" t="s">
        <v>226</v>
      </c>
      <c r="D51" s="21"/>
      <c r="E51" s="22"/>
      <c r="F51" s="21">
        <v>24743</v>
      </c>
      <c r="G51" s="22"/>
      <c r="H51" s="21"/>
      <c r="I51" s="23"/>
      <c r="J51" s="21">
        <f t="shared" si="15"/>
        <v>24743</v>
      </c>
      <c r="K51" s="206">
        <f t="shared" si="1"/>
        <v>0.12050326834326486</v>
      </c>
    </row>
    <row r="52" spans="1:14" x14ac:dyDescent="0.15">
      <c r="B52" s="92"/>
      <c r="C52" s="93" t="s">
        <v>135</v>
      </c>
      <c r="D52" s="21"/>
      <c r="E52" s="22"/>
      <c r="F52" s="21">
        <v>11674</v>
      </c>
      <c r="G52" s="22"/>
      <c r="H52" s="21"/>
      <c r="I52" s="23"/>
      <c r="J52" s="21">
        <f t="shared" si="15"/>
        <v>11674</v>
      </c>
      <c r="K52" s="206">
        <f t="shared" si="1"/>
        <v>5.685467221595094E-2</v>
      </c>
      <c r="M52" s="168"/>
    </row>
    <row r="53" spans="1:14" ht="15" thickBot="1" x14ac:dyDescent="0.2">
      <c r="B53" s="92"/>
      <c r="C53" s="93" t="s">
        <v>172</v>
      </c>
      <c r="D53" s="21"/>
      <c r="E53" s="22"/>
      <c r="F53" s="21">
        <v>-2535</v>
      </c>
      <c r="G53" s="22"/>
      <c r="H53" s="21"/>
      <c r="I53" s="23"/>
      <c r="J53" s="21">
        <f t="shared" si="15"/>
        <v>-2535</v>
      </c>
      <c r="K53" s="206" t="str">
        <f t="shared" si="1"/>
        <v/>
      </c>
    </row>
    <row r="54" spans="1:14" ht="16" x14ac:dyDescent="0.2">
      <c r="B54" s="70"/>
      <c r="C54" s="71" t="s">
        <v>77</v>
      </c>
      <c r="D54" s="62">
        <f t="shared" ref="D54:J54" si="16">SUM(D49:D53)</f>
        <v>0</v>
      </c>
      <c r="E54" s="63">
        <f t="shared" si="16"/>
        <v>0</v>
      </c>
      <c r="F54" s="62">
        <f t="shared" si="16"/>
        <v>33882</v>
      </c>
      <c r="G54" s="63">
        <f t="shared" si="16"/>
        <v>4567</v>
      </c>
      <c r="H54" s="62">
        <f t="shared" si="16"/>
        <v>141745</v>
      </c>
      <c r="I54" s="64">
        <f t="shared" si="16"/>
        <v>0</v>
      </c>
      <c r="J54" s="62">
        <f t="shared" si="16"/>
        <v>146332.53694999998</v>
      </c>
      <c r="K54" s="214">
        <f t="shared" si="1"/>
        <v>0.71266818766667617</v>
      </c>
    </row>
    <row r="55" spans="1:14" ht="15" thickBot="1" x14ac:dyDescent="0.2">
      <c r="B55" s="65"/>
      <c r="C55" s="37" t="s">
        <v>34</v>
      </c>
      <c r="D55" s="38"/>
      <c r="E55" s="39"/>
      <c r="F55" s="38">
        <v>336.70243314935334</v>
      </c>
      <c r="G55" s="39"/>
      <c r="H55" s="38">
        <f>4358.27902960442 + 34.67</f>
        <v>4392.9490296044205</v>
      </c>
      <c r="I55" s="40"/>
      <c r="J55" s="38">
        <f>D55*$F$96+E55*$F$97+F55*$F$98+G55*$F$99+H55*$F$100+I55*$F$102</f>
        <v>3680.2198690715736</v>
      </c>
      <c r="K55" s="209">
        <f t="shared" si="1"/>
        <v>1.7923393381762395E-2</v>
      </c>
      <c r="M55" s="168"/>
      <c r="N55" s="168"/>
    </row>
    <row r="56" spans="1:14" ht="17.25" customHeight="1" x14ac:dyDescent="0.2">
      <c r="B56" s="264" t="s">
        <v>78</v>
      </c>
      <c r="C56" s="265"/>
      <c r="D56" s="99">
        <f t="shared" ref="D56:I56" si="17">D42-D47+D54</f>
        <v>0</v>
      </c>
      <c r="E56" s="100">
        <f t="shared" si="17"/>
        <v>0</v>
      </c>
      <c r="F56" s="99">
        <f t="shared" si="17"/>
        <v>32737</v>
      </c>
      <c r="G56" s="100">
        <f t="shared" si="17"/>
        <v>4567</v>
      </c>
      <c r="H56" s="99">
        <f t="shared" si="17"/>
        <v>141745</v>
      </c>
      <c r="I56" s="101">
        <f t="shared" si="17"/>
        <v>0</v>
      </c>
      <c r="J56" s="99">
        <f>J42-J47+J54</f>
        <v>145187.53694999998</v>
      </c>
      <c r="K56" s="218">
        <f t="shared" si="1"/>
        <v>0.70709181284337108</v>
      </c>
      <c r="M56" s="168"/>
    </row>
    <row r="57" spans="1:14" ht="14.25" customHeight="1" thickBot="1" x14ac:dyDescent="0.25">
      <c r="B57" s="102"/>
      <c r="C57" s="103" t="s">
        <v>34</v>
      </c>
      <c r="D57" s="104"/>
      <c r="E57" s="105">
        <f>E43-E48+E55</f>
        <v>0</v>
      </c>
      <c r="F57" s="104">
        <f>F43-F48+F55</f>
        <v>890.82043314935345</v>
      </c>
      <c r="G57" s="105">
        <f>G43-G48+G55</f>
        <v>0</v>
      </c>
      <c r="H57" s="104">
        <f>H43-H48+H55</f>
        <v>4392.9490296044205</v>
      </c>
      <c r="I57" s="106">
        <f>I43-I48+I55</f>
        <v>0</v>
      </c>
      <c r="J57" s="104">
        <f>D57*$F$96+E57*$F$97+F57*$F$98+G57*$F$99+H57*$F$100+I57*$F$102</f>
        <v>4234.3378690715736</v>
      </c>
      <c r="K57" s="219">
        <f t="shared" si="1"/>
        <v>2.0622056844068228E-2</v>
      </c>
      <c r="M57" s="168"/>
    </row>
    <row r="58" spans="1:14" ht="14.25" customHeight="1" x14ac:dyDescent="0.2">
      <c r="A58" s="27"/>
      <c r="L58" s="107"/>
    </row>
    <row r="59" spans="1:14" ht="14.25" customHeight="1" x14ac:dyDescent="0.2">
      <c r="A59" s="27"/>
      <c r="B59" s="108"/>
      <c r="C59" s="108"/>
      <c r="D59" s="108"/>
      <c r="E59" s="108"/>
      <c r="F59" s="108"/>
      <c r="G59" s="108"/>
      <c r="H59" s="108"/>
      <c r="I59" s="108"/>
      <c r="J59" s="108"/>
      <c r="K59" s="184"/>
      <c r="L59" s="108"/>
      <c r="M59" s="107"/>
    </row>
    <row r="60" spans="1:14" ht="14.25" customHeight="1" x14ac:dyDescent="0.2">
      <c r="A60" s="27"/>
      <c r="B60" s="108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7"/>
    </row>
    <row r="61" spans="1:14" ht="14.25" customHeight="1" x14ac:dyDescent="0.2">
      <c r="A61" s="27"/>
      <c r="B61" s="108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7"/>
    </row>
    <row r="62" spans="1:14" ht="14.25" customHeight="1" x14ac:dyDescent="0.2">
      <c r="A62" s="27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7"/>
    </row>
    <row r="63" spans="1:14" ht="14.25" customHeight="1" x14ac:dyDescent="0.2">
      <c r="A63" s="27"/>
      <c r="C63" s="110"/>
      <c r="D63" s="111"/>
      <c r="E63" s="111"/>
      <c r="F63" s="111"/>
      <c r="G63" s="111"/>
      <c r="H63" s="111"/>
      <c r="I63" s="111"/>
      <c r="J63" s="111"/>
      <c r="K63" s="111"/>
      <c r="L63" s="111"/>
    </row>
    <row r="64" spans="1:14" ht="24" thickBot="1" x14ac:dyDescent="0.3">
      <c r="A64" s="27"/>
      <c r="B64" s="112"/>
      <c r="C64" s="112"/>
      <c r="D64" s="2" t="s">
        <v>79</v>
      </c>
      <c r="E64" s="111"/>
      <c r="F64" s="111"/>
      <c r="G64" s="111"/>
      <c r="H64" s="111"/>
      <c r="I64" s="111"/>
      <c r="J64" s="111"/>
      <c r="K64" s="111"/>
      <c r="L64" s="111"/>
    </row>
    <row r="65" spans="2:16" ht="17" thickBot="1" x14ac:dyDescent="0.2">
      <c r="B65" s="248" t="s">
        <v>80</v>
      </c>
      <c r="C65" s="249"/>
      <c r="D65" s="249"/>
      <c r="E65" s="249"/>
      <c r="F65" s="249"/>
      <c r="G65" s="249"/>
      <c r="H65" s="249"/>
      <c r="I65" s="249"/>
      <c r="J65" s="250"/>
    </row>
    <row r="66" spans="2:16" ht="30" customHeight="1" x14ac:dyDescent="0.15">
      <c r="B66" s="254" t="s">
        <v>81</v>
      </c>
      <c r="C66" s="255"/>
      <c r="D66" s="3" t="s">
        <v>2</v>
      </c>
      <c r="E66" s="3" t="s">
        <v>4</v>
      </c>
      <c r="F66" s="3" t="s">
        <v>5</v>
      </c>
      <c r="G66" s="3" t="s">
        <v>6</v>
      </c>
      <c r="H66" s="3" t="s">
        <v>7</v>
      </c>
      <c r="I66" s="251" t="s">
        <v>8</v>
      </c>
      <c r="J66" s="252"/>
    </row>
    <row r="67" spans="2:16" s="113" customFormat="1" ht="15.75" customHeight="1" thickBot="1" x14ac:dyDescent="0.2">
      <c r="B67" s="5" t="s">
        <v>237</v>
      </c>
      <c r="C67" s="114"/>
      <c r="D67" s="7" t="s">
        <v>9</v>
      </c>
      <c r="E67" s="7" t="s">
        <v>10</v>
      </c>
      <c r="F67" s="7" t="s">
        <v>11</v>
      </c>
      <c r="G67" s="7" t="s">
        <v>12</v>
      </c>
      <c r="H67" s="7" t="s">
        <v>13</v>
      </c>
      <c r="I67" s="7" t="s">
        <v>14</v>
      </c>
      <c r="J67" s="198" t="s">
        <v>146</v>
      </c>
      <c r="K67" s="115"/>
      <c r="L67" s="115"/>
      <c r="N67" s="1"/>
      <c r="O67" s="1"/>
      <c r="P67" s="1"/>
    </row>
    <row r="68" spans="2:16" ht="15" thickBot="1" x14ac:dyDescent="0.2">
      <c r="B68" s="116" t="s">
        <v>82</v>
      </c>
      <c r="C68" s="117" t="s">
        <v>83</v>
      </c>
      <c r="D68" s="118" t="s">
        <v>84</v>
      </c>
      <c r="E68" s="118" t="s">
        <v>85</v>
      </c>
      <c r="F68" s="119" t="s">
        <v>86</v>
      </c>
      <c r="G68" s="119" t="s">
        <v>87</v>
      </c>
      <c r="H68" s="119" t="s">
        <v>88</v>
      </c>
      <c r="I68" s="200" t="s">
        <v>89</v>
      </c>
      <c r="J68" s="199" t="s">
        <v>174</v>
      </c>
    </row>
    <row r="69" spans="2:16" x14ac:dyDescent="0.15">
      <c r="B69" s="13" t="s">
        <v>90</v>
      </c>
      <c r="C69" s="120" t="s">
        <v>91</v>
      </c>
      <c r="D69" s="15"/>
      <c r="E69" s="16"/>
      <c r="F69" s="15"/>
      <c r="G69" s="16"/>
      <c r="H69" s="15"/>
      <c r="I69" s="17"/>
      <c r="J69" s="185" t="str">
        <f t="shared" ref="J69:J90" si="18">IF(I69&gt;0,I69/I$90,"")</f>
        <v/>
      </c>
      <c r="N69" s="113"/>
      <c r="O69" s="113"/>
      <c r="P69" s="113"/>
    </row>
    <row r="70" spans="2:16" x14ac:dyDescent="0.15">
      <c r="B70" s="121" t="s">
        <v>92</v>
      </c>
      <c r="C70" s="88" t="s">
        <v>93</v>
      </c>
      <c r="D70" s="21"/>
      <c r="E70" s="22"/>
      <c r="F70" s="21"/>
      <c r="G70" s="22"/>
      <c r="H70" s="21"/>
      <c r="I70" s="23"/>
      <c r="J70" s="186" t="str">
        <f t="shared" si="18"/>
        <v/>
      </c>
    </row>
    <row r="71" spans="2:16" ht="15" thickBot="1" x14ac:dyDescent="0.2">
      <c r="B71" s="87" t="s">
        <v>94</v>
      </c>
      <c r="C71" s="88" t="s">
        <v>95</v>
      </c>
      <c r="D71" s="89"/>
      <c r="E71" s="90"/>
      <c r="F71" s="89"/>
      <c r="G71" s="90"/>
      <c r="H71" s="89"/>
      <c r="I71" s="91">
        <f>D71*$F$96+E71*$F$98+F71*$F$99+G71*$F$100+H71*$F$102</f>
        <v>0</v>
      </c>
      <c r="J71" s="187" t="str">
        <f t="shared" si="18"/>
        <v/>
      </c>
    </row>
    <row r="72" spans="2:16" ht="17" thickBot="1" x14ac:dyDescent="0.25">
      <c r="B72" s="125"/>
      <c r="C72" s="126" t="s">
        <v>96</v>
      </c>
      <c r="D72" s="127">
        <f t="shared" ref="D72:I72" si="19">SUM(D69:D71)</f>
        <v>0</v>
      </c>
      <c r="E72" s="128">
        <f t="shared" si="19"/>
        <v>0</v>
      </c>
      <c r="F72" s="127">
        <f t="shared" si="19"/>
        <v>0</v>
      </c>
      <c r="G72" s="128">
        <f t="shared" si="19"/>
        <v>0</v>
      </c>
      <c r="H72" s="127">
        <f t="shared" si="19"/>
        <v>0</v>
      </c>
      <c r="I72" s="201">
        <f t="shared" si="19"/>
        <v>0</v>
      </c>
      <c r="J72" s="188" t="str">
        <f t="shared" si="18"/>
        <v/>
      </c>
    </row>
    <row r="73" spans="2:16" x14ac:dyDescent="0.15">
      <c r="B73" s="130" t="s">
        <v>97</v>
      </c>
      <c r="C73" s="131" t="s">
        <v>173</v>
      </c>
      <c r="D73" s="132"/>
      <c r="E73" s="133">
        <v>32737</v>
      </c>
      <c r="F73" s="132"/>
      <c r="G73" s="133"/>
      <c r="H73" s="132"/>
      <c r="I73" s="202">
        <f>E73</f>
        <v>32737</v>
      </c>
      <c r="J73" s="189">
        <f t="shared" si="18"/>
        <v>0.2254807863520272</v>
      </c>
    </row>
    <row r="74" spans="2:16" x14ac:dyDescent="0.15">
      <c r="B74" s="97" t="s">
        <v>98</v>
      </c>
      <c r="C74" s="98" t="s">
        <v>138</v>
      </c>
      <c r="D74" s="123"/>
      <c r="E74" s="124"/>
      <c r="F74" s="123"/>
      <c r="G74" s="124">
        <v>6667</v>
      </c>
      <c r="H74" s="123"/>
      <c r="I74" s="203">
        <f t="shared" ref="I74:I79" si="20">D74*$F$96+E74*$F$98+F74*$F$99+G74*$F$100+H74*$F$102</f>
        <v>5074.3203699999995</v>
      </c>
      <c r="J74" s="190">
        <f t="shared" si="18"/>
        <v>3.4950109882692655E-2</v>
      </c>
    </row>
    <row r="75" spans="2:16" x14ac:dyDescent="0.15">
      <c r="B75" s="97" t="s">
        <v>99</v>
      </c>
      <c r="C75" s="98" t="s">
        <v>139</v>
      </c>
      <c r="D75" s="123"/>
      <c r="E75" s="124"/>
      <c r="F75" s="123"/>
      <c r="G75" s="124">
        <v>76061</v>
      </c>
      <c r="H75" s="123"/>
      <c r="I75" s="203">
        <f t="shared" si="20"/>
        <v>57890.787709999997</v>
      </c>
      <c r="J75" s="190">
        <f t="shared" si="18"/>
        <v>0.3987311096126423</v>
      </c>
    </row>
    <row r="76" spans="2:16" x14ac:dyDescent="0.15">
      <c r="B76" s="97" t="s">
        <v>100</v>
      </c>
      <c r="C76" s="98" t="s">
        <v>140</v>
      </c>
      <c r="D76" s="123"/>
      <c r="E76" s="124"/>
      <c r="F76" s="123"/>
      <c r="G76" s="124">
        <v>48248</v>
      </c>
      <c r="H76" s="123"/>
      <c r="I76" s="203">
        <f t="shared" si="20"/>
        <v>36722.035279999996</v>
      </c>
      <c r="J76" s="190">
        <f t="shared" si="18"/>
        <v>0.25292828882858187</v>
      </c>
    </row>
    <row r="77" spans="2:16" x14ac:dyDescent="0.15">
      <c r="B77" s="121" t="s">
        <v>101</v>
      </c>
      <c r="C77" s="122" t="s">
        <v>141</v>
      </c>
      <c r="D77" s="21"/>
      <c r="E77" s="22"/>
      <c r="F77" s="21"/>
      <c r="G77" s="22">
        <v>2369</v>
      </c>
      <c r="H77" s="21"/>
      <c r="I77" s="23">
        <f t="shared" si="20"/>
        <v>1803.0695899999998</v>
      </c>
      <c r="J77" s="186">
        <f t="shared" si="18"/>
        <v>1.2418900601784747E-2</v>
      </c>
    </row>
    <row r="78" spans="2:16" x14ac:dyDescent="0.15">
      <c r="B78" s="92" t="s">
        <v>102</v>
      </c>
      <c r="C78" s="93" t="s">
        <v>142</v>
      </c>
      <c r="D78" s="30"/>
      <c r="E78" s="31"/>
      <c r="F78" s="30"/>
      <c r="G78" s="31">
        <v>2983</v>
      </c>
      <c r="H78" s="30"/>
      <c r="I78" s="32">
        <f t="shared" si="20"/>
        <v>2270.39113</v>
      </c>
      <c r="J78" s="191">
        <f t="shared" si="18"/>
        <v>1.5637644784771591E-2</v>
      </c>
    </row>
    <row r="79" spans="2:16" ht="15" thickBot="1" x14ac:dyDescent="0.2">
      <c r="B79" s="197" t="s">
        <v>191</v>
      </c>
      <c r="C79" s="49" t="s">
        <v>192</v>
      </c>
      <c r="D79" s="48"/>
      <c r="E79" s="49"/>
      <c r="F79" s="48">
        <v>4567</v>
      </c>
      <c r="G79" s="49"/>
      <c r="H79" s="48"/>
      <c r="I79" s="50">
        <f t="shared" si="20"/>
        <v>4567</v>
      </c>
      <c r="J79" s="192">
        <f t="shared" si="18"/>
        <v>3.1455868016913836E-2</v>
      </c>
    </row>
    <row r="80" spans="2:16" ht="17" thickBot="1" x14ac:dyDescent="0.25">
      <c r="B80" s="125"/>
      <c r="C80" s="126" t="s">
        <v>103</v>
      </c>
      <c r="D80" s="127">
        <f t="shared" ref="D80:I80" si="21">SUM(D73:D79)</f>
        <v>0</v>
      </c>
      <c r="E80" s="128">
        <f t="shared" si="21"/>
        <v>32737</v>
      </c>
      <c r="F80" s="127">
        <f t="shared" si="21"/>
        <v>4567</v>
      </c>
      <c r="G80" s="128">
        <f t="shared" si="21"/>
        <v>136328</v>
      </c>
      <c r="H80" s="127">
        <f t="shared" si="21"/>
        <v>0</v>
      </c>
      <c r="I80" s="201">
        <f t="shared" si="21"/>
        <v>141064.60407999999</v>
      </c>
      <c r="J80" s="188">
        <f t="shared" si="18"/>
        <v>0.97160270807941418</v>
      </c>
    </row>
    <row r="81" spans="2:10" x14ac:dyDescent="0.15">
      <c r="B81" s="130" t="s">
        <v>104</v>
      </c>
      <c r="C81" s="131" t="s">
        <v>105</v>
      </c>
      <c r="D81" s="132"/>
      <c r="E81" s="133"/>
      <c r="F81" s="132"/>
      <c r="G81" s="133"/>
      <c r="H81" s="132"/>
      <c r="I81" s="202"/>
      <c r="J81" s="189" t="str">
        <f t="shared" si="18"/>
        <v/>
      </c>
    </row>
    <row r="82" spans="2:10" x14ac:dyDescent="0.15">
      <c r="B82" s="121" t="s">
        <v>106</v>
      </c>
      <c r="C82" s="122" t="s">
        <v>107</v>
      </c>
      <c r="D82" s="21"/>
      <c r="E82" s="22"/>
      <c r="F82" s="21"/>
      <c r="G82" s="22"/>
      <c r="H82" s="21"/>
      <c r="I82" s="23">
        <f>D82*$F$96+E82*$F$98+F82*$F$99+G82*$F$100+H82*$F$102</f>
        <v>0</v>
      </c>
      <c r="J82" s="186" t="str">
        <f t="shared" si="18"/>
        <v/>
      </c>
    </row>
    <row r="83" spans="2:10" x14ac:dyDescent="0.15">
      <c r="B83" s="97" t="s">
        <v>108</v>
      </c>
      <c r="C83" s="98" t="s">
        <v>109</v>
      </c>
      <c r="D83" s="123"/>
      <c r="E83" s="124"/>
      <c r="F83" s="123"/>
      <c r="G83" s="124"/>
      <c r="H83" s="123"/>
      <c r="I83" s="203">
        <f>D83*$F$96+E83*$F$98+F83*$F$99+G83*$F$100+H83*$F$102</f>
        <v>0</v>
      </c>
      <c r="J83" s="190" t="str">
        <f t="shared" si="18"/>
        <v/>
      </c>
    </row>
    <row r="84" spans="2:10" x14ac:dyDescent="0.15">
      <c r="B84" s="121" t="s">
        <v>110</v>
      </c>
      <c r="C84" s="98" t="s">
        <v>111</v>
      </c>
      <c r="D84" s="21"/>
      <c r="E84" s="22"/>
      <c r="F84" s="21"/>
      <c r="G84" s="22"/>
      <c r="H84" s="21"/>
      <c r="I84" s="23">
        <f>D84*$F$96+E84*$F$98+F84*$F$99+G84*$F$100+H84*$F$102</f>
        <v>0</v>
      </c>
      <c r="J84" s="186" t="str">
        <f t="shared" si="18"/>
        <v/>
      </c>
    </row>
    <row r="85" spans="2:10" x14ac:dyDescent="0.15">
      <c r="B85" s="97" t="s">
        <v>112</v>
      </c>
      <c r="C85" s="88" t="s">
        <v>113</v>
      </c>
      <c r="D85" s="123"/>
      <c r="E85" s="124"/>
      <c r="F85" s="123"/>
      <c r="G85" s="124"/>
      <c r="H85" s="123"/>
      <c r="I85" s="203">
        <f>D85*$F$96+E85*$F$98+F85*$F$99+G85*$F$100+H85*$F$102</f>
        <v>0</v>
      </c>
      <c r="J85" s="190" t="str">
        <f t="shared" si="18"/>
        <v/>
      </c>
    </row>
    <row r="86" spans="2:10" ht="15" thickBot="1" x14ac:dyDescent="0.2">
      <c r="B86" s="46" t="s">
        <v>114</v>
      </c>
      <c r="C86" s="69" t="s">
        <v>115</v>
      </c>
      <c r="D86" s="48"/>
      <c r="E86" s="49"/>
      <c r="F86" s="48"/>
      <c r="G86" s="49"/>
      <c r="H86" s="48"/>
      <c r="I86" s="50">
        <f>D86*$F$96+E86*$F$98+F86*$F$99+G86*$F$100+H86*$F$102</f>
        <v>0</v>
      </c>
      <c r="J86" s="192" t="str">
        <f t="shared" si="18"/>
        <v/>
      </c>
    </row>
    <row r="87" spans="2:10" ht="17" thickBot="1" x14ac:dyDescent="0.25">
      <c r="B87" s="125"/>
      <c r="C87" s="126" t="s">
        <v>116</v>
      </c>
      <c r="D87" s="127">
        <f>SUM(D82:D86)</f>
        <v>0</v>
      </c>
      <c r="E87" s="128">
        <f t="shared" ref="E87:H87" si="22">SUM(E82:E86)</f>
        <v>0</v>
      </c>
      <c r="F87" s="127">
        <f t="shared" si="22"/>
        <v>0</v>
      </c>
      <c r="G87" s="128">
        <f t="shared" si="22"/>
        <v>0</v>
      </c>
      <c r="H87" s="127">
        <f t="shared" si="22"/>
        <v>0</v>
      </c>
      <c r="I87" s="201">
        <f>SUM(I82:I86)</f>
        <v>0</v>
      </c>
      <c r="J87" s="188" t="str">
        <f t="shared" si="18"/>
        <v/>
      </c>
    </row>
    <row r="88" spans="2:10" x14ac:dyDescent="0.15">
      <c r="B88" s="134" t="s">
        <v>117</v>
      </c>
      <c r="C88" s="135" t="s">
        <v>118</v>
      </c>
      <c r="D88" s="123"/>
      <c r="E88" s="124"/>
      <c r="F88" s="123"/>
      <c r="G88" s="124"/>
      <c r="H88" s="123"/>
      <c r="I88" s="203"/>
      <c r="J88" s="190" t="str">
        <f t="shared" si="18"/>
        <v/>
      </c>
    </row>
    <row r="89" spans="2:10" ht="15" thickBot="1" x14ac:dyDescent="0.2">
      <c r="B89" s="92" t="s">
        <v>119</v>
      </c>
      <c r="C89" s="93" t="s">
        <v>120</v>
      </c>
      <c r="D89" s="30">
        <f>-(D87+D72+D80-D56)</f>
        <v>0</v>
      </c>
      <c r="E89" s="31">
        <f>-(E87+E72+E80-F56)</f>
        <v>0</v>
      </c>
      <c r="F89" s="30">
        <f>-(F87+F72+F80-G56)</f>
        <v>0</v>
      </c>
      <c r="G89" s="31">
        <f>-(G87+G72+G80-H56)</f>
        <v>5417</v>
      </c>
      <c r="H89" s="30">
        <f>-(H87+H72+H80-I56)</f>
        <v>0</v>
      </c>
      <c r="I89" s="91">
        <f>D89*$F$96+E89*$F$98+F89*$F$99+G89*$F$100+H89*$F$102</f>
        <v>4122.9328699999996</v>
      </c>
      <c r="J89" s="187">
        <f t="shared" si="18"/>
        <v>2.839729192058589E-2</v>
      </c>
    </row>
    <row r="90" spans="2:10" ht="17" thickBot="1" x14ac:dyDescent="0.25">
      <c r="B90" s="136"/>
      <c r="C90" s="137" t="s">
        <v>121</v>
      </c>
      <c r="D90" s="138">
        <f>D72+D80+D87+D89</f>
        <v>0</v>
      </c>
      <c r="E90" s="139">
        <f>E72+E80+E87+E89</f>
        <v>32737</v>
      </c>
      <c r="F90" s="138">
        <f>F72+F80+F87+F89</f>
        <v>4567</v>
      </c>
      <c r="G90" s="139">
        <f>G72+G80+G87+G89</f>
        <v>141745</v>
      </c>
      <c r="H90" s="138">
        <f>H87</f>
        <v>0</v>
      </c>
      <c r="I90" s="204">
        <f>D90*$F$96+E90*$F$98+F90*$F$99+G90*$F$100+H90*$F$102</f>
        <v>145187.53694999998</v>
      </c>
      <c r="J90" s="193">
        <f t="shared" si="18"/>
        <v>1</v>
      </c>
    </row>
    <row r="94" spans="2:10" ht="17" thickBot="1" x14ac:dyDescent="0.2">
      <c r="C94" s="248" t="s">
        <v>122</v>
      </c>
      <c r="D94" s="249"/>
      <c r="E94" s="249"/>
      <c r="F94" s="249"/>
      <c r="G94" s="250"/>
    </row>
    <row r="95" spans="2:10" ht="17" thickBot="1" x14ac:dyDescent="0.25">
      <c r="C95" s="140" t="s">
        <v>123</v>
      </c>
      <c r="D95" s="141"/>
      <c r="E95" s="141" t="s">
        <v>124</v>
      </c>
      <c r="F95" s="141" t="s">
        <v>125</v>
      </c>
      <c r="G95" s="142" t="s">
        <v>126</v>
      </c>
    </row>
    <row r="96" spans="2:10" ht="15" x14ac:dyDescent="0.2">
      <c r="C96" s="143" t="s">
        <v>127</v>
      </c>
      <c r="D96" s="144">
        <v>1</v>
      </c>
      <c r="E96" s="145" t="s">
        <v>171</v>
      </c>
      <c r="F96" s="146">
        <v>1.0321498279284332E-2</v>
      </c>
      <c r="G96" s="147" t="s">
        <v>128</v>
      </c>
    </row>
    <row r="97" spans="3:7" ht="15" x14ac:dyDescent="0.2">
      <c r="C97" s="148" t="s">
        <v>3</v>
      </c>
      <c r="D97" s="149">
        <v>1</v>
      </c>
      <c r="E97" s="150" t="s">
        <v>171</v>
      </c>
      <c r="F97" s="151">
        <v>8.4620659056991888E-3</v>
      </c>
      <c r="G97" s="152" t="s">
        <v>128</v>
      </c>
    </row>
    <row r="98" spans="3:7" ht="15" x14ac:dyDescent="0.2">
      <c r="C98" s="153" t="s">
        <v>129</v>
      </c>
      <c r="D98" s="154">
        <v>1</v>
      </c>
      <c r="E98" s="155" t="s">
        <v>10</v>
      </c>
      <c r="F98" s="156">
        <v>1</v>
      </c>
      <c r="G98" s="152" t="s">
        <v>128</v>
      </c>
    </row>
    <row r="99" spans="3:7" ht="15" x14ac:dyDescent="0.2">
      <c r="C99" s="153" t="s">
        <v>130</v>
      </c>
      <c r="D99" s="157">
        <v>1</v>
      </c>
      <c r="E99" s="155" t="s">
        <v>11</v>
      </c>
      <c r="F99" s="156">
        <v>1</v>
      </c>
      <c r="G99" s="152" t="s">
        <v>128</v>
      </c>
    </row>
    <row r="100" spans="3:7" ht="15" x14ac:dyDescent="0.2">
      <c r="C100" s="158" t="s">
        <v>198</v>
      </c>
      <c r="D100" s="159">
        <v>1</v>
      </c>
      <c r="E100" s="155" t="s">
        <v>12</v>
      </c>
      <c r="F100" s="160">
        <v>0.76110999999999995</v>
      </c>
      <c r="G100" s="152" t="s">
        <v>128</v>
      </c>
    </row>
    <row r="101" spans="3:7" ht="15" x14ac:dyDescent="0.2">
      <c r="C101" s="158" t="s">
        <v>131</v>
      </c>
      <c r="D101" s="159">
        <v>1</v>
      </c>
      <c r="E101" s="161" t="s">
        <v>12</v>
      </c>
      <c r="F101" s="162">
        <f>30/3.6</f>
        <v>8.3333333333333339</v>
      </c>
      <c r="G101" s="152" t="s">
        <v>128</v>
      </c>
    </row>
    <row r="102" spans="3:7" ht="16" thickBot="1" x14ac:dyDescent="0.25">
      <c r="C102" s="158" t="s">
        <v>7</v>
      </c>
      <c r="D102" s="157">
        <v>1</v>
      </c>
      <c r="E102" s="163" t="s">
        <v>13</v>
      </c>
      <c r="F102" s="164">
        <v>9.8460000000000006E-3</v>
      </c>
      <c r="G102" s="152" t="s">
        <v>128</v>
      </c>
    </row>
    <row r="103" spans="3:7" ht="15" thickBot="1" x14ac:dyDescent="0.2">
      <c r="C103" s="165"/>
      <c r="D103" s="166"/>
      <c r="E103" s="128"/>
      <c r="F103" s="127"/>
      <c r="G103" s="129"/>
    </row>
    <row r="104" spans="3:7" x14ac:dyDescent="0.15">
      <c r="C104" s="167" t="s">
        <v>132</v>
      </c>
      <c r="D104" s="167"/>
      <c r="E104" s="167"/>
      <c r="F104" s="167"/>
      <c r="G104" s="167"/>
    </row>
    <row r="105" spans="3:7" x14ac:dyDescent="0.15">
      <c r="C105" s="1" t="s">
        <v>133</v>
      </c>
    </row>
    <row r="106" spans="3:7" x14ac:dyDescent="0.15">
      <c r="C106" s="253" t="s">
        <v>134</v>
      </c>
      <c r="D106" s="253"/>
    </row>
    <row r="107" spans="3:7" ht="15" thickBot="1" x14ac:dyDescent="0.2"/>
    <row r="108" spans="3:7" ht="17" thickBot="1" x14ac:dyDescent="0.2">
      <c r="C108" s="245" t="s">
        <v>239</v>
      </c>
      <c r="D108" s="246"/>
      <c r="E108" s="246"/>
      <c r="F108" s="246"/>
      <c r="G108" s="247"/>
    </row>
    <row r="109" spans="3:7" ht="17" thickBot="1" x14ac:dyDescent="0.25">
      <c r="C109" s="140" t="s">
        <v>240</v>
      </c>
      <c r="D109" s="114"/>
      <c r="E109" s="114"/>
      <c r="F109" s="141" t="s">
        <v>241</v>
      </c>
      <c r="G109" s="142" t="s">
        <v>124</v>
      </c>
    </row>
    <row r="110" spans="3:7" x14ac:dyDescent="0.15">
      <c r="C110" s="239" t="s">
        <v>242</v>
      </c>
      <c r="D110" s="80"/>
      <c r="E110" s="80"/>
      <c r="F110" s="243">
        <v>0.27</v>
      </c>
      <c r="G110" s="240"/>
    </row>
    <row r="111" spans="3:7" x14ac:dyDescent="0.15">
      <c r="C111" s="241"/>
      <c r="D111" s="244"/>
      <c r="E111" s="244"/>
      <c r="F111" s="159"/>
      <c r="G111" s="242"/>
    </row>
    <row r="112" spans="3:7" ht="15" thickBot="1" x14ac:dyDescent="0.2">
      <c r="C112" s="241"/>
      <c r="D112" s="244"/>
      <c r="E112" s="244"/>
      <c r="F112" s="157"/>
      <c r="G112" s="242"/>
    </row>
    <row r="113" spans="3:7" ht="15" thickBot="1" x14ac:dyDescent="0.2">
      <c r="C113" s="165"/>
      <c r="D113" s="128"/>
      <c r="E113" s="128"/>
      <c r="F113" s="166"/>
      <c r="G113" s="129"/>
    </row>
  </sheetData>
  <mergeCells count="14">
    <mergeCell ref="C108:G108"/>
    <mergeCell ref="B7:K7"/>
    <mergeCell ref="J8:K8"/>
    <mergeCell ref="C106:D106"/>
    <mergeCell ref="B8:C8"/>
    <mergeCell ref="B15:C15"/>
    <mergeCell ref="B24:C24"/>
    <mergeCell ref="B26:C26"/>
    <mergeCell ref="B42:C42"/>
    <mergeCell ref="B56:C56"/>
    <mergeCell ref="B66:C66"/>
    <mergeCell ref="C94:G94"/>
    <mergeCell ref="B65:J65"/>
    <mergeCell ref="I66:J66"/>
  </mergeCells>
  <pageMargins left="0.7" right="0.7" top="0.75" bottom="0.75" header="0.3" footer="0.3"/>
  <pageSetup orientation="portrait" r:id="rId1"/>
  <ignoredErrors>
    <ignoredError sqref="B10:H10 B17:H17 B15:H15 B26:H27 B24:H24 B33:H33 B31:H31 B37:H38 B36:H36 B41:H41 B40:H40 B44:H44 B42:E42 B49:H49 B47:C47 B55:E55 B54:H54 B57:F57 B56:F56 B68:I70 B11:C14 J11 B18:C18 B28:C29 J28 B32:D32 I32 B35:H35 B34:H34 I35 B39:H39 B45 F45 B46 F46 I46 B72:I72 B71:D71 G71:I71 B81:I81 B73 H74:I78 B88:I90 B82:C86 I82:I83 B50 I50 B48:D48 H48 B43:D43 H43 B16:D16 G16:H16 B25:D25 H25 B30 B20:C20 B19 H46 B78 B74 D74 B75 D75 B76 D76 B77 D77 D78 B80:C80 B87:C87 I85:I86 D73 B22:C23 B21 J68 H73 H45 D50:E50 I17:J17 I15 I26:J27 I24 I33:J33 I31 I38:J38 I36 I41 I40 I44:J44 I42 I49:J49 I54 I48 I43 I16 I45 I37 I10:K10 G42:H42" numberStoredAsText="1"/>
    <ignoredError sqref="J15 J24 J31 J36 J54" numberStoredAsText="1" formula="1"/>
    <ignoredError sqref="G56:H56 G57:H57 I56 I57 I55" evalError="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2"/>
  <sheetViews>
    <sheetView topLeftCell="A12" workbookViewId="0">
      <selection activeCell="E66" sqref="E66"/>
    </sheetView>
  </sheetViews>
  <sheetFormatPr baseColWidth="10" defaultColWidth="8.83203125" defaultRowHeight="15" x14ac:dyDescent="0.2"/>
  <cols>
    <col min="1" max="1" width="41.1640625" customWidth="1"/>
    <col min="2" max="2" width="9.83203125" style="170" customWidth="1"/>
    <col min="3" max="3" width="11.1640625" bestFit="1" customWidth="1"/>
    <col min="5" max="5" width="9.33203125" bestFit="1" customWidth="1"/>
    <col min="9" max="9" width="17.5" customWidth="1"/>
  </cols>
  <sheetData>
    <row r="1" spans="1:5" ht="19" x14ac:dyDescent="0.25">
      <c r="A1" s="169" t="s">
        <v>216</v>
      </c>
    </row>
    <row r="3" spans="1:5" x14ac:dyDescent="0.2">
      <c r="A3" s="171" t="s">
        <v>143</v>
      </c>
      <c r="B3" s="170" t="s">
        <v>144</v>
      </c>
      <c r="C3" s="172">
        <v>2019</v>
      </c>
    </row>
    <row r="4" spans="1:5" x14ac:dyDescent="0.2">
      <c r="A4" t="s">
        <v>203</v>
      </c>
      <c r="B4" s="170" t="s">
        <v>145</v>
      </c>
      <c r="C4" s="173">
        <v>95005501</v>
      </c>
      <c r="D4" s="174"/>
    </row>
    <row r="5" spans="1:5" x14ac:dyDescent="0.2">
      <c r="A5" t="s">
        <v>204</v>
      </c>
      <c r="B5" s="170" t="s">
        <v>146</v>
      </c>
      <c r="C5" s="174">
        <f>5415314/C4</f>
        <v>5.700000466288789E-2</v>
      </c>
    </row>
    <row r="6" spans="1:5" x14ac:dyDescent="0.2">
      <c r="A6" s="177"/>
      <c r="B6" s="176"/>
    </row>
    <row r="7" spans="1:5" x14ac:dyDescent="0.2">
      <c r="A7" s="171" t="s">
        <v>147</v>
      </c>
      <c r="B7" s="176"/>
    </row>
    <row r="8" spans="1:5" ht="17" x14ac:dyDescent="0.25">
      <c r="A8" t="s">
        <v>227</v>
      </c>
      <c r="B8" s="170" t="s">
        <v>148</v>
      </c>
      <c r="C8" s="173">
        <v>24743</v>
      </c>
    </row>
    <row r="9" spans="1:5" ht="17" x14ac:dyDescent="0.25">
      <c r="A9" t="s">
        <v>228</v>
      </c>
      <c r="B9" s="170" t="s">
        <v>148</v>
      </c>
      <c r="C9" s="173">
        <v>11674</v>
      </c>
    </row>
    <row r="10" spans="1:5" ht="17" x14ac:dyDescent="0.25">
      <c r="A10" t="s">
        <v>205</v>
      </c>
      <c r="B10" s="170" t="s">
        <v>148</v>
      </c>
      <c r="C10" s="173">
        <f t="shared" ref="C10" si="0">SUM(C8:C9)</f>
        <v>36417</v>
      </c>
    </row>
    <row r="11" spans="1:5" ht="17" x14ac:dyDescent="0.25">
      <c r="A11" t="s">
        <v>206</v>
      </c>
      <c r="B11" s="170" t="s">
        <v>148</v>
      </c>
      <c r="C11" s="173">
        <v>2535</v>
      </c>
    </row>
    <row r="12" spans="1:5" ht="17" x14ac:dyDescent="0.25">
      <c r="A12" t="s">
        <v>229</v>
      </c>
      <c r="B12" s="170" t="s">
        <v>148</v>
      </c>
      <c r="C12" s="173">
        <f>C11*(C8/C10)</f>
        <v>1722.3688112694622</v>
      </c>
    </row>
    <row r="13" spans="1:5" ht="17" x14ac:dyDescent="0.25">
      <c r="A13" t="s">
        <v>230</v>
      </c>
      <c r="B13" s="170" t="s">
        <v>148</v>
      </c>
      <c r="C13" s="173">
        <f>C11*(C9/C10)</f>
        <v>812.63118873053781</v>
      </c>
      <c r="D13" s="173"/>
    </row>
    <row r="14" spans="1:5" x14ac:dyDescent="0.2">
      <c r="A14" s="224" t="s">
        <v>217</v>
      </c>
      <c r="C14" s="173"/>
    </row>
    <row r="15" spans="1:5" ht="17" x14ac:dyDescent="0.25">
      <c r="A15" t="s">
        <v>207</v>
      </c>
      <c r="B15" s="170" t="s">
        <v>148</v>
      </c>
      <c r="C15" s="173">
        <f>C10-C11</f>
        <v>33882</v>
      </c>
    </row>
    <row r="16" spans="1:5" x14ac:dyDescent="0.2">
      <c r="B16" s="176"/>
      <c r="D16" s="173"/>
      <c r="E16" s="173"/>
    </row>
    <row r="17" spans="1:5" ht="17" x14ac:dyDescent="0.25">
      <c r="A17" t="s">
        <v>201</v>
      </c>
      <c r="B17" s="170" t="s">
        <v>148</v>
      </c>
      <c r="C17">
        <v>2467</v>
      </c>
      <c r="D17" s="173"/>
      <c r="E17" s="173"/>
    </row>
    <row r="18" spans="1:5" ht="17" x14ac:dyDescent="0.25">
      <c r="A18" t="s">
        <v>202</v>
      </c>
      <c r="B18" s="170" t="s">
        <v>148</v>
      </c>
      <c r="C18">
        <v>3612</v>
      </c>
    </row>
    <row r="19" spans="1:5" ht="17" x14ac:dyDescent="0.25">
      <c r="A19" t="s">
        <v>218</v>
      </c>
      <c r="B19" s="170" t="s">
        <v>148</v>
      </c>
      <c r="C19" s="173">
        <f t="shared" ref="C19" si="1">C17-C18</f>
        <v>-1145</v>
      </c>
    </row>
    <row r="20" spans="1:5" ht="17" x14ac:dyDescent="0.25">
      <c r="A20" s="171" t="s">
        <v>219</v>
      </c>
      <c r="B20" s="170" t="s">
        <v>148</v>
      </c>
      <c r="C20" s="173">
        <f>C15+C19</f>
        <v>32737</v>
      </c>
    </row>
    <row r="21" spans="1:5" x14ac:dyDescent="0.2">
      <c r="B21" s="176"/>
    </row>
    <row r="22" spans="1:5" x14ac:dyDescent="0.2">
      <c r="A22" s="171" t="s">
        <v>149</v>
      </c>
      <c r="B22" s="176"/>
    </row>
    <row r="23" spans="1:5" ht="17" x14ac:dyDescent="0.2">
      <c r="A23" s="173" t="s">
        <v>150</v>
      </c>
      <c r="B23" s="170" t="s">
        <v>151</v>
      </c>
      <c r="C23" s="173">
        <v>17526719</v>
      </c>
    </row>
    <row r="24" spans="1:5" ht="17" x14ac:dyDescent="0.2">
      <c r="A24" t="s">
        <v>152</v>
      </c>
      <c r="B24" s="170" t="s">
        <v>153</v>
      </c>
      <c r="C24" s="178">
        <f>C25/C23</f>
        <v>1.0321498279284332E-2</v>
      </c>
    </row>
    <row r="25" spans="1:5" x14ac:dyDescent="0.2">
      <c r="A25" s="171" t="s">
        <v>220</v>
      </c>
      <c r="B25" s="170" t="s">
        <v>14</v>
      </c>
      <c r="C25" s="173">
        <v>180902</v>
      </c>
    </row>
    <row r="27" spans="1:5" x14ac:dyDescent="0.2">
      <c r="A27" s="179" t="s">
        <v>154</v>
      </c>
      <c r="B27" s="176"/>
    </row>
    <row r="28" spans="1:5" ht="17" x14ac:dyDescent="0.2">
      <c r="A28" s="173" t="s">
        <v>150</v>
      </c>
      <c r="B28" s="170" t="s">
        <v>151</v>
      </c>
      <c r="C28" s="173">
        <v>495860</v>
      </c>
    </row>
    <row r="29" spans="1:5" ht="17" x14ac:dyDescent="0.2">
      <c r="A29" t="s">
        <v>152</v>
      </c>
      <c r="B29" s="170" t="s">
        <v>153</v>
      </c>
      <c r="C29" s="178">
        <f t="shared" ref="C29" si="2">C30/C28</f>
        <v>8.4620659056991888E-3</v>
      </c>
    </row>
    <row r="30" spans="1:5" x14ac:dyDescent="0.2">
      <c r="A30" s="171" t="s">
        <v>221</v>
      </c>
      <c r="B30" s="170" t="s">
        <v>14</v>
      </c>
      <c r="C30" s="173">
        <v>4196</v>
      </c>
    </row>
    <row r="32" spans="1:5" x14ac:dyDescent="0.2">
      <c r="A32" s="179" t="s">
        <v>155</v>
      </c>
    </row>
    <row r="33" spans="1:6" x14ac:dyDescent="0.2">
      <c r="A33" t="s">
        <v>156</v>
      </c>
      <c r="B33" s="170" t="s">
        <v>14</v>
      </c>
      <c r="C33" s="173">
        <v>0</v>
      </c>
    </row>
    <row r="35" spans="1:6" x14ac:dyDescent="0.2">
      <c r="A35" s="171" t="s">
        <v>157</v>
      </c>
      <c r="B35" s="170" t="s">
        <v>14</v>
      </c>
      <c r="C35" s="173">
        <f t="shared" ref="C35" si="3">C25+C30+C33</f>
        <v>185098</v>
      </c>
    </row>
    <row r="36" spans="1:6" x14ac:dyDescent="0.2">
      <c r="A36" s="173"/>
      <c r="B36" s="176"/>
    </row>
    <row r="37" spans="1:6" x14ac:dyDescent="0.2">
      <c r="A37" s="179"/>
    </row>
    <row r="38" spans="1:6" s="171" customFormat="1" x14ac:dyDescent="0.2">
      <c r="A38" s="171" t="s">
        <v>158</v>
      </c>
      <c r="B38" s="172"/>
    </row>
    <row r="39" spans="1:6" x14ac:dyDescent="0.2">
      <c r="A39" t="s">
        <v>225</v>
      </c>
      <c r="B39" s="176" t="s">
        <v>12</v>
      </c>
      <c r="C39" s="173">
        <v>141745</v>
      </c>
      <c r="E39" s="173"/>
    </row>
    <row r="40" spans="1:6" x14ac:dyDescent="0.2">
      <c r="A40" s="173" t="s">
        <v>224</v>
      </c>
      <c r="B40" s="176" t="s">
        <v>159</v>
      </c>
      <c r="C40" s="173">
        <v>144</v>
      </c>
      <c r="E40" s="173"/>
    </row>
    <row r="41" spans="1:6" x14ac:dyDescent="0.2">
      <c r="A41" s="173" t="s">
        <v>223</v>
      </c>
      <c r="B41" s="176" t="s">
        <v>160</v>
      </c>
      <c r="C41" s="180">
        <v>3.15</v>
      </c>
      <c r="E41" s="180"/>
    </row>
    <row r="42" spans="1:6" ht="17" x14ac:dyDescent="0.25">
      <c r="A42" s="173" t="s">
        <v>222</v>
      </c>
      <c r="B42" s="176" t="s">
        <v>161</v>
      </c>
      <c r="C42" s="173">
        <v>2740</v>
      </c>
      <c r="E42" s="180"/>
    </row>
    <row r="43" spans="1:6" ht="17" x14ac:dyDescent="0.25">
      <c r="A43" s="173" t="s">
        <v>130</v>
      </c>
      <c r="B43" s="176" t="s">
        <v>162</v>
      </c>
      <c r="C43" s="173">
        <v>107884</v>
      </c>
      <c r="D43" s="173"/>
      <c r="E43" s="173"/>
      <c r="F43" s="173"/>
    </row>
    <row r="44" spans="1:6" ht="17" x14ac:dyDescent="0.25">
      <c r="A44" t="s">
        <v>163</v>
      </c>
      <c r="B44" s="176" t="s">
        <v>162</v>
      </c>
      <c r="C44" s="173">
        <v>4567</v>
      </c>
      <c r="F44" s="173"/>
    </row>
    <row r="45" spans="1:6" ht="17" x14ac:dyDescent="0.25">
      <c r="A45" s="179" t="s">
        <v>210</v>
      </c>
      <c r="B45" s="176" t="s">
        <v>162</v>
      </c>
      <c r="C45" s="173">
        <f>C44+C43</f>
        <v>112451</v>
      </c>
      <c r="D45" s="173"/>
    </row>
    <row r="46" spans="1:6" x14ac:dyDescent="0.2">
      <c r="A46" s="173"/>
      <c r="B46" s="176"/>
    </row>
    <row r="47" spans="1:6" x14ac:dyDescent="0.2">
      <c r="A47" s="179" t="s">
        <v>164</v>
      </c>
      <c r="B47" s="176"/>
      <c r="D47" s="173"/>
      <c r="E47" s="181"/>
    </row>
    <row r="48" spans="1:6" x14ac:dyDescent="0.2">
      <c r="A48" t="s">
        <v>164</v>
      </c>
      <c r="B48" s="176" t="s">
        <v>12</v>
      </c>
      <c r="C48" s="173">
        <v>139426</v>
      </c>
    </row>
    <row r="49" spans="1:7" x14ac:dyDescent="0.2">
      <c r="A49" t="s">
        <v>165</v>
      </c>
      <c r="B49" s="176" t="s">
        <v>159</v>
      </c>
      <c r="C49" s="173">
        <v>102</v>
      </c>
    </row>
    <row r="50" spans="1:7" x14ac:dyDescent="0.2">
      <c r="A50" t="s">
        <v>166</v>
      </c>
      <c r="B50" s="176" t="s">
        <v>146</v>
      </c>
      <c r="C50" s="175">
        <v>0.81</v>
      </c>
    </row>
    <row r="51" spans="1:7" x14ac:dyDescent="0.2">
      <c r="A51" t="s">
        <v>167</v>
      </c>
      <c r="B51" s="176" t="s">
        <v>160</v>
      </c>
      <c r="C51" s="173">
        <v>75</v>
      </c>
    </row>
    <row r="52" spans="1:7" ht="17" x14ac:dyDescent="0.25">
      <c r="A52" t="s">
        <v>211</v>
      </c>
      <c r="B52" s="176" t="s">
        <v>161</v>
      </c>
      <c r="C52" s="173">
        <v>436</v>
      </c>
    </row>
    <row r="53" spans="1:7" ht="17" x14ac:dyDescent="0.25">
      <c r="A53" t="s">
        <v>212</v>
      </c>
      <c r="B53" s="176" t="s">
        <v>162</v>
      </c>
      <c r="C53" s="173">
        <f>C48*C52/3600</f>
        <v>16886.037777777779</v>
      </c>
    </row>
    <row r="54" spans="1:7" ht="17" x14ac:dyDescent="0.25">
      <c r="A54" t="s">
        <v>213</v>
      </c>
      <c r="B54" s="176" t="s">
        <v>162</v>
      </c>
      <c r="C54" s="225">
        <f>7262*436/3600</f>
        <v>879.50888888888892</v>
      </c>
    </row>
    <row r="55" spans="1:7" ht="17" x14ac:dyDescent="0.25">
      <c r="A55" s="179" t="s">
        <v>231</v>
      </c>
      <c r="B55" s="176" t="s">
        <v>162</v>
      </c>
      <c r="C55" s="173">
        <f>C54+C53</f>
        <v>17765.546666666669</v>
      </c>
      <c r="E55" s="173"/>
    </row>
    <row r="57" spans="1:7" ht="17" x14ac:dyDescent="0.25">
      <c r="A57" s="179" t="s">
        <v>232</v>
      </c>
      <c r="B57" s="176" t="s">
        <v>162</v>
      </c>
      <c r="C57" s="173">
        <f>C45-C55</f>
        <v>94685.453333333338</v>
      </c>
    </row>
    <row r="58" spans="1:7" x14ac:dyDescent="0.2">
      <c r="B58" s="176"/>
    </row>
    <row r="59" spans="1:7" ht="16" thickBot="1" x14ac:dyDescent="0.25">
      <c r="B59" s="176"/>
      <c r="C59" s="174"/>
    </row>
    <row r="60" spans="1:7" ht="17" x14ac:dyDescent="0.25">
      <c r="A60" s="227" t="s">
        <v>196</v>
      </c>
      <c r="B60" s="228" t="s">
        <v>162</v>
      </c>
      <c r="C60" s="229">
        <f>134483*3265/3600</f>
        <v>121968.60972222222</v>
      </c>
    </row>
    <row r="61" spans="1:7" ht="17" x14ac:dyDescent="0.25">
      <c r="A61" s="230" t="s">
        <v>233</v>
      </c>
      <c r="B61" s="226" t="s">
        <v>162</v>
      </c>
      <c r="C61" s="231">
        <v>4196</v>
      </c>
    </row>
    <row r="62" spans="1:7" x14ac:dyDescent="0.2">
      <c r="A62" s="230" t="s">
        <v>214</v>
      </c>
      <c r="B62" s="223"/>
      <c r="C62" s="232">
        <v>0.9</v>
      </c>
      <c r="G62" s="225"/>
    </row>
    <row r="63" spans="1:7" x14ac:dyDescent="0.2">
      <c r="A63" s="230" t="s">
        <v>197</v>
      </c>
      <c r="B63" s="223"/>
      <c r="C63" s="233">
        <f>C62*C61/C60</f>
        <v>3.0962064818157508E-2</v>
      </c>
    </row>
    <row r="64" spans="1:7" ht="17" x14ac:dyDescent="0.25">
      <c r="A64" s="230" t="s">
        <v>200</v>
      </c>
      <c r="B64" s="223" t="s">
        <v>148</v>
      </c>
      <c r="C64" s="231">
        <v>11674</v>
      </c>
    </row>
    <row r="65" spans="1:7" x14ac:dyDescent="0.2">
      <c r="A65" s="230" t="s">
        <v>235</v>
      </c>
      <c r="B65" s="223"/>
      <c r="C65" s="233">
        <f>C64/C60</f>
        <v>9.5713151331207155E-2</v>
      </c>
    </row>
    <row r="66" spans="1:7" ht="17" x14ac:dyDescent="0.25">
      <c r="A66" s="230" t="s">
        <v>195</v>
      </c>
      <c r="B66" s="226" t="s">
        <v>162</v>
      </c>
      <c r="C66" s="231">
        <f>(141745*2740/3600)-7262*436/3600</f>
        <v>107004.18555555555</v>
      </c>
    </row>
    <row r="67" spans="1:7" x14ac:dyDescent="0.2">
      <c r="A67" s="230" t="s">
        <v>234</v>
      </c>
      <c r="B67" s="223"/>
      <c r="C67" s="233">
        <f>C66/C60</f>
        <v>0.87730921750483637</v>
      </c>
    </row>
    <row r="68" spans="1:7" x14ac:dyDescent="0.2">
      <c r="A68" s="230" t="s">
        <v>199</v>
      </c>
      <c r="B68" s="223"/>
      <c r="C68" s="233">
        <f>(C66+C64)/C60</f>
        <v>0.97302236883604354</v>
      </c>
    </row>
    <row r="69" spans="1:7" ht="17" x14ac:dyDescent="0.25">
      <c r="A69" s="234" t="s">
        <v>208</v>
      </c>
      <c r="B69" s="223" t="s">
        <v>148</v>
      </c>
      <c r="C69" s="235">
        <f>(C64-C13)*0.031</f>
        <v>336.70243314935334</v>
      </c>
    </row>
    <row r="70" spans="1:7" ht="17" x14ac:dyDescent="0.25">
      <c r="A70" s="234" t="s">
        <v>209</v>
      </c>
      <c r="B70" s="226" t="s">
        <v>162</v>
      </c>
      <c r="C70" s="235">
        <f>C66*0.031</f>
        <v>3317.1297522222221</v>
      </c>
    </row>
    <row r="71" spans="1:7" ht="17" x14ac:dyDescent="0.25">
      <c r="A71" s="230" t="s">
        <v>236</v>
      </c>
      <c r="B71" s="226" t="s">
        <v>162</v>
      </c>
      <c r="C71" s="235">
        <f>C54*0.03</f>
        <v>26.385266666666666</v>
      </c>
      <c r="E71" s="225"/>
      <c r="G71" s="225"/>
    </row>
    <row r="72" spans="1:7" ht="38" thickBot="1" x14ac:dyDescent="0.25">
      <c r="A72" s="236" t="s">
        <v>238</v>
      </c>
      <c r="B72" s="237"/>
      <c r="C72" s="2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27"/>
  <sheetViews>
    <sheetView workbookViewId="0">
      <selection activeCell="C5" sqref="C5"/>
    </sheetView>
  </sheetViews>
  <sheetFormatPr baseColWidth="10" defaultColWidth="8.83203125" defaultRowHeight="15" x14ac:dyDescent="0.2"/>
  <cols>
    <col min="2" max="2" width="39" customWidth="1"/>
    <col min="4" max="4" width="4.1640625" customWidth="1"/>
    <col min="5" max="5" width="6" customWidth="1"/>
    <col min="6" max="6" width="2.5" customWidth="1"/>
    <col min="7" max="7" width="13.83203125" customWidth="1"/>
  </cols>
  <sheetData>
    <row r="2" spans="2:9" x14ac:dyDescent="0.2">
      <c r="B2" s="171" t="s">
        <v>175</v>
      </c>
    </row>
    <row r="4" spans="2:9" x14ac:dyDescent="0.2">
      <c r="C4" t="s">
        <v>176</v>
      </c>
      <c r="G4" s="171" t="s">
        <v>177</v>
      </c>
    </row>
    <row r="5" spans="2:9" x14ac:dyDescent="0.2">
      <c r="B5" t="s">
        <v>178</v>
      </c>
      <c r="C5" s="173">
        <v>141745</v>
      </c>
      <c r="E5" s="182" t="s">
        <v>15</v>
      </c>
      <c r="F5" s="182"/>
      <c r="G5" s="183" t="s">
        <v>179</v>
      </c>
      <c r="H5" s="173">
        <f>C5-C11</f>
        <v>5417</v>
      </c>
      <c r="I5" s="174">
        <f>H5/C5</f>
        <v>3.8216515573741582E-2</v>
      </c>
    </row>
    <row r="6" spans="2:9" x14ac:dyDescent="0.2">
      <c r="B6" s="195" t="s">
        <v>180</v>
      </c>
      <c r="C6" s="173">
        <v>6667</v>
      </c>
      <c r="D6" s="173"/>
      <c r="E6" s="182" t="s">
        <v>16</v>
      </c>
      <c r="F6" s="182"/>
    </row>
    <row r="7" spans="2:9" x14ac:dyDescent="0.2">
      <c r="B7" s="195" t="s">
        <v>168</v>
      </c>
      <c r="C7" s="173">
        <v>76061</v>
      </c>
      <c r="D7" s="173"/>
      <c r="E7" s="182" t="s">
        <v>17</v>
      </c>
      <c r="F7" s="182"/>
    </row>
    <row r="8" spans="2:9" x14ac:dyDescent="0.2">
      <c r="B8" s="195" t="s">
        <v>169</v>
      </c>
      <c r="C8" s="173">
        <v>48248</v>
      </c>
      <c r="D8" s="173"/>
      <c r="E8" s="182" t="s">
        <v>18</v>
      </c>
      <c r="F8" s="182"/>
    </row>
    <row r="9" spans="2:9" x14ac:dyDescent="0.2">
      <c r="B9" s="195" t="s">
        <v>141</v>
      </c>
      <c r="C9" s="173">
        <v>2369</v>
      </c>
      <c r="D9" s="173"/>
      <c r="E9" s="182" t="s">
        <v>19</v>
      </c>
      <c r="F9" s="182"/>
    </row>
    <row r="10" spans="2:9" x14ac:dyDescent="0.2">
      <c r="B10" s="195" t="s">
        <v>181</v>
      </c>
      <c r="C10" s="173">
        <v>2983</v>
      </c>
      <c r="D10" s="173"/>
      <c r="E10" s="182" t="s">
        <v>20</v>
      </c>
      <c r="F10" s="182"/>
    </row>
    <row r="11" spans="2:9" x14ac:dyDescent="0.2">
      <c r="B11" s="196" t="s">
        <v>182</v>
      </c>
      <c r="C11" s="173">
        <f>SUM(C6:C10)</f>
        <v>136328</v>
      </c>
      <c r="D11" s="173"/>
      <c r="E11" s="182" t="s">
        <v>21</v>
      </c>
      <c r="F11" s="182"/>
    </row>
    <row r="12" spans="2:9" x14ac:dyDescent="0.2">
      <c r="C12" s="173"/>
      <c r="D12" s="173"/>
      <c r="E12" s="182"/>
      <c r="F12" s="182"/>
    </row>
    <row r="13" spans="2:9" x14ac:dyDescent="0.2">
      <c r="B13" t="s">
        <v>183</v>
      </c>
      <c r="C13" s="173">
        <f>0.81*C11</f>
        <v>110425.68000000001</v>
      </c>
      <c r="D13" s="173"/>
      <c r="E13" s="182" t="s">
        <v>22</v>
      </c>
      <c r="F13" s="182"/>
    </row>
    <row r="14" spans="2:9" x14ac:dyDescent="0.2">
      <c r="B14" t="s">
        <v>184</v>
      </c>
      <c r="C14" s="173">
        <v>35516</v>
      </c>
      <c r="D14" s="173"/>
      <c r="E14" s="182" t="s">
        <v>23</v>
      </c>
      <c r="F14" s="182"/>
    </row>
    <row r="15" spans="2:9" x14ac:dyDescent="0.2">
      <c r="B15" s="196" t="s">
        <v>182</v>
      </c>
      <c r="C15" s="173">
        <f>SUM(C13:C14)</f>
        <v>145941.68</v>
      </c>
      <c r="D15" s="173"/>
      <c r="E15" s="182" t="s">
        <v>24</v>
      </c>
      <c r="F15" s="182"/>
    </row>
    <row r="16" spans="2:9" x14ac:dyDescent="0.2">
      <c r="C16" s="173"/>
      <c r="D16" s="173"/>
    </row>
    <row r="17" spans="2:9" x14ac:dyDescent="0.2">
      <c r="B17" t="s">
        <v>185</v>
      </c>
      <c r="C17" s="173">
        <v>139426</v>
      </c>
      <c r="D17" s="173"/>
      <c r="E17" s="182" t="s">
        <v>82</v>
      </c>
      <c r="F17" s="182"/>
      <c r="G17" s="171" t="s">
        <v>177</v>
      </c>
    </row>
    <row r="18" spans="2:9" x14ac:dyDescent="0.2">
      <c r="B18" t="s">
        <v>186</v>
      </c>
      <c r="C18" s="173">
        <v>7262</v>
      </c>
      <c r="D18" s="173"/>
      <c r="E18" s="182" t="s">
        <v>83</v>
      </c>
      <c r="F18" s="182"/>
      <c r="G18" s="177" t="s">
        <v>187</v>
      </c>
      <c r="H18" s="173">
        <f>C15-C17-C18</f>
        <v>-746.32000000000698</v>
      </c>
      <c r="I18" s="174">
        <f>H18/C15</f>
        <v>-5.1138235492424579E-3</v>
      </c>
    </row>
    <row r="19" spans="2:9" x14ac:dyDescent="0.2">
      <c r="B19" t="s">
        <v>188</v>
      </c>
      <c r="C19" s="173">
        <v>-4943</v>
      </c>
      <c r="D19" s="173"/>
      <c r="E19" s="182" t="s">
        <v>84</v>
      </c>
      <c r="F19" s="182"/>
      <c r="G19" s="177"/>
      <c r="H19" s="173"/>
      <c r="I19" s="174"/>
    </row>
    <row r="20" spans="2:9" x14ac:dyDescent="0.2">
      <c r="B20" s="196" t="s">
        <v>182</v>
      </c>
      <c r="C20" s="173">
        <f>SUM(C17:C19)</f>
        <v>141745</v>
      </c>
      <c r="D20" s="173"/>
      <c r="E20" s="182" t="s">
        <v>85</v>
      </c>
      <c r="F20" s="182"/>
      <c r="G20" s="171" t="s">
        <v>177</v>
      </c>
    </row>
    <row r="21" spans="2:9" x14ac:dyDescent="0.2">
      <c r="C21" s="173"/>
      <c r="D21" s="173"/>
      <c r="G21" s="183" t="s">
        <v>189</v>
      </c>
      <c r="H21" s="173">
        <f>C5-C20</f>
        <v>0</v>
      </c>
    </row>
    <row r="22" spans="2:9" x14ac:dyDescent="0.2">
      <c r="D22" s="173"/>
    </row>
    <row r="23" spans="2:9" x14ac:dyDescent="0.2">
      <c r="C23" s="173"/>
      <c r="D23" s="173"/>
    </row>
    <row r="24" spans="2:9" x14ac:dyDescent="0.2">
      <c r="C24" s="173"/>
      <c r="D24" s="173"/>
    </row>
    <row r="25" spans="2:9" x14ac:dyDescent="0.2">
      <c r="C25" s="173"/>
      <c r="D25" s="173"/>
    </row>
    <row r="26" spans="2:9" x14ac:dyDescent="0.2">
      <c r="C26" s="173"/>
      <c r="D26" s="173"/>
    </row>
    <row r="27" spans="2:9" x14ac:dyDescent="0.2">
      <c r="C27" s="173"/>
    </row>
  </sheetData>
  <pageMargins left="0.7" right="0.7" top="0.75" bottom="0.75" header="0.3" footer="0.3"/>
  <ignoredErrors>
    <ignoredError sqref="E5:E20" numberStoredAsText="1"/>
    <ignoredError sqref="C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Tabelle Risorse-Impieghi</vt:lpstr>
      <vt:lpstr>Dati</vt:lpstr>
      <vt:lpstr>Bilancio H2O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Dolf Van Hattem</dc:creator>
  <cp:lastModifiedBy>Microsoft Office User</cp:lastModifiedBy>
  <dcterms:created xsi:type="dcterms:W3CDTF">2019-06-07T09:23:01Z</dcterms:created>
  <dcterms:modified xsi:type="dcterms:W3CDTF">2021-07-07T13:24:41Z</dcterms:modified>
</cp:coreProperties>
</file>